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MK\Documents\Webkehitys\Pankkiasiat\laskelmat\"/>
    </mc:Choice>
  </mc:AlternateContent>
  <xr:revisionPtr revIDLastSave="0" documentId="13_ncr:1_{026FB089-1721-49B1-A2D5-CEE774062382}" xr6:coauthVersionLast="46" xr6:coauthVersionMax="46" xr10:uidLastSave="{00000000-0000-0000-0000-000000000000}"/>
  <bookViews>
    <workbookView xWindow="2400" yWindow="1470" windowWidth="17355" windowHeight="13710" xr2:uid="{00000000-000D-0000-FFFF-FFFF00000000}"/>
  </bookViews>
  <sheets>
    <sheet name="BSM" sheetId="1" r:id="rId1"/>
    <sheet name="GK" sheetId="2" r:id="rId2"/>
    <sheet name="Sarjat" sheetId="3" r:id="rId3"/>
  </sheets>
  <definedNames>
    <definedName name="dopt1">(dosk1*EXP(-BSM!$B$10*BSM!$B$9))*NORMSDIST(BSM!$B$24)-BSM!$B$6*EXP(-BSM!$B$8*BSM!$B$9)*NORMSDIST(BSM!$B$25)</definedName>
    <definedName name="dopt2">(dosk2*EXP(-BSM!$B$10*BSM!$B$9))*NORMSDIST(BSM!$B$24)-BSM!$B$6*EXP(-BSM!$B$8*BSM!$B$9)*NORMSDIST(BSM!$B$25)</definedName>
    <definedName name="dosk1">(BSM!$B$5*BSM!$B$12+BSM!$B$19*BSM!$B$11)/(BSM!$B$12+BSM!$B$11)</definedName>
    <definedName name="dosk2">(BSM!$B$5*BSM!$B$12+dopt1*BSM!$B$11)/(BSM!$B$12+BSM!$B$11)</definedName>
    <definedName name="Pankkiasiat.fi">BSM!$F$1</definedName>
    <definedName name="solver_adj" localSheetId="0" hidden="1">BSM!$B$7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BSM!$B$19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22" i="3" l="1"/>
  <c r="B19" i="1"/>
  <c r="E19" i="1" l="1"/>
  <c r="O20" i="3"/>
  <c r="O19" i="3" s="1"/>
  <c r="O18" i="3" s="1"/>
  <c r="O17" i="3" s="1"/>
  <c r="O16" i="3" s="1"/>
  <c r="O15" i="3" s="1"/>
  <c r="O14" i="3" s="1"/>
  <c r="O13" i="3" s="1"/>
  <c r="O12" i="3" s="1"/>
  <c r="O11" i="3" s="1"/>
  <c r="O10" i="3" s="1"/>
  <c r="O9" i="3" s="1"/>
  <c r="O8" i="3" s="1"/>
  <c r="O7" i="3" s="1"/>
  <c r="O6" i="3" s="1"/>
  <c r="O5" i="3" s="1"/>
  <c r="O4" i="3" s="1"/>
  <c r="O3" i="3" s="1"/>
  <c r="O2" i="3" s="1"/>
  <c r="Q2" i="3" s="1"/>
  <c r="O21" i="3"/>
  <c r="O24" i="3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23" i="3"/>
  <c r="H23" i="3"/>
  <c r="A23" i="3"/>
  <c r="O22" i="3"/>
  <c r="J22" i="3"/>
  <c r="H22" i="3"/>
  <c r="H21" i="3"/>
  <c r="J21" i="3" s="1"/>
  <c r="A21" i="3"/>
  <c r="H20" i="3"/>
  <c r="H19" i="3" l="1"/>
  <c r="J20" i="3"/>
  <c r="L22" i="3"/>
  <c r="M22" i="3" s="1"/>
  <c r="R2" i="3"/>
  <c r="S2" i="3" s="1"/>
  <c r="T2" i="3" s="1"/>
  <c r="A20" i="3"/>
  <c r="C21" i="3"/>
  <c r="D21" i="3" s="1"/>
  <c r="A24" i="3"/>
  <c r="C23" i="3"/>
  <c r="D23" i="3" s="1"/>
  <c r="K21" i="3"/>
  <c r="L21" i="3" s="1"/>
  <c r="M21" i="3" s="1"/>
  <c r="K22" i="3"/>
  <c r="J23" i="3"/>
  <c r="H24" i="3"/>
  <c r="C22" i="3"/>
  <c r="D22" i="3" s="1"/>
  <c r="Q22" i="3"/>
  <c r="R22" i="3" s="1"/>
  <c r="B14" i="2"/>
  <c r="Q21" i="3" l="1"/>
  <c r="R21" i="3" s="1"/>
  <c r="K20" i="3"/>
  <c r="L20" i="3"/>
  <c r="M20" i="3" s="1"/>
  <c r="E23" i="3"/>
  <c r="F23" i="3" s="1"/>
  <c r="J19" i="3"/>
  <c r="H18" i="3"/>
  <c r="J24" i="3"/>
  <c r="H25" i="3"/>
  <c r="A25" i="3"/>
  <c r="C24" i="3"/>
  <c r="D24" i="3" s="1"/>
  <c r="E22" i="3"/>
  <c r="F22" i="3" s="1"/>
  <c r="E21" i="3"/>
  <c r="F21" i="3" s="1"/>
  <c r="S22" i="3"/>
  <c r="T22" i="3" s="1"/>
  <c r="K23" i="3"/>
  <c r="L23" i="3" s="1"/>
  <c r="M23" i="3" s="1"/>
  <c r="C20" i="3"/>
  <c r="D20" i="3" s="1"/>
  <c r="A19" i="3"/>
  <c r="B15" i="2"/>
  <c r="B18" i="2" s="1"/>
  <c r="C19" i="3" l="1"/>
  <c r="D19" i="3" s="1"/>
  <c r="A18" i="3"/>
  <c r="E20" i="3"/>
  <c r="F20" i="3" s="1"/>
  <c r="E24" i="3"/>
  <c r="F24" i="3" s="1"/>
  <c r="A26" i="3"/>
  <c r="C25" i="3"/>
  <c r="D25" i="3" s="1"/>
  <c r="J25" i="3"/>
  <c r="H26" i="3"/>
  <c r="S21" i="3"/>
  <c r="T21" i="3" s="1"/>
  <c r="J18" i="3"/>
  <c r="H17" i="3"/>
  <c r="L19" i="3"/>
  <c r="M19" i="3" s="1"/>
  <c r="K19" i="3"/>
  <c r="K24" i="3"/>
  <c r="L24" i="3"/>
  <c r="M24" i="3" s="1"/>
  <c r="Q20" i="3"/>
  <c r="R20" i="3" s="1"/>
  <c r="B17" i="2"/>
  <c r="B16" i="1"/>
  <c r="S20" i="3" l="1"/>
  <c r="T20" i="3" s="1"/>
  <c r="J26" i="3"/>
  <c r="H27" i="3"/>
  <c r="K25" i="3"/>
  <c r="L25" i="3" s="1"/>
  <c r="M25" i="3" s="1"/>
  <c r="C18" i="3"/>
  <c r="D18" i="3" s="1"/>
  <c r="A17" i="3"/>
  <c r="Q19" i="3"/>
  <c r="R19" i="3" s="1"/>
  <c r="E25" i="3"/>
  <c r="F25" i="3" s="1"/>
  <c r="E19" i="3"/>
  <c r="F19" i="3" s="1"/>
  <c r="J17" i="3"/>
  <c r="H16" i="3"/>
  <c r="K18" i="3"/>
  <c r="L18" i="3"/>
  <c r="M18" i="3" s="1"/>
  <c r="C26" i="3"/>
  <c r="D26" i="3" s="1"/>
  <c r="A27" i="3"/>
  <c r="F19" i="1"/>
  <c r="E18" i="1"/>
  <c r="F18" i="1" s="1"/>
  <c r="F17" i="1"/>
  <c r="E17" i="1"/>
  <c r="B17" i="1"/>
  <c r="F20" i="1" s="1"/>
  <c r="E26" i="3" l="1"/>
  <c r="F26" i="3" s="1"/>
  <c r="E18" i="3"/>
  <c r="F18" i="3" s="1"/>
  <c r="S19" i="3"/>
  <c r="T19" i="3" s="1"/>
  <c r="Q18" i="3"/>
  <c r="R18" i="3" s="1"/>
  <c r="J16" i="3"/>
  <c r="H15" i="3"/>
  <c r="C17" i="3"/>
  <c r="D17" i="3" s="1"/>
  <c r="A16" i="3"/>
  <c r="H28" i="3"/>
  <c r="J27" i="3"/>
  <c r="C27" i="3"/>
  <c r="D27" i="3" s="1"/>
  <c r="A28" i="3"/>
  <c r="K17" i="3"/>
  <c r="L17" i="3" s="1"/>
  <c r="M17" i="3" s="1"/>
  <c r="K26" i="3"/>
  <c r="L26" i="3" s="1"/>
  <c r="M26" i="3" s="1"/>
  <c r="E20" i="1"/>
  <c r="K27" i="3" l="1"/>
  <c r="L27" i="3" s="1"/>
  <c r="M27" i="3" s="1"/>
  <c r="Q17" i="3"/>
  <c r="R17" i="3" s="1"/>
  <c r="E17" i="3"/>
  <c r="F17" i="3" s="1"/>
  <c r="E27" i="3"/>
  <c r="F27" i="3" s="1"/>
  <c r="J15" i="3"/>
  <c r="H14" i="3"/>
  <c r="C28" i="3"/>
  <c r="D28" i="3" s="1"/>
  <c r="A29" i="3"/>
  <c r="K16" i="3"/>
  <c r="L16" i="3"/>
  <c r="M16" i="3" s="1"/>
  <c r="H29" i="3"/>
  <c r="J28" i="3"/>
  <c r="S18" i="3"/>
  <c r="T18" i="3" s="1"/>
  <c r="A15" i="3"/>
  <c r="C16" i="3"/>
  <c r="D16" i="3" s="1"/>
  <c r="B20" i="1"/>
  <c r="B24" i="1"/>
  <c r="K15" i="3" l="1"/>
  <c r="L15" i="3" s="1"/>
  <c r="M15" i="3" s="1"/>
  <c r="A30" i="3"/>
  <c r="C29" i="3"/>
  <c r="D29" i="3" s="1"/>
  <c r="S17" i="3"/>
  <c r="T17" i="3" s="1"/>
  <c r="C15" i="3"/>
  <c r="D15" i="3" s="1"/>
  <c r="A14" i="3"/>
  <c r="E16" i="3"/>
  <c r="F16" i="3" s="1"/>
  <c r="Q16" i="3"/>
  <c r="R16" i="3" s="1"/>
  <c r="K28" i="3"/>
  <c r="L28" i="3" s="1"/>
  <c r="M28" i="3" s="1"/>
  <c r="H30" i="3"/>
  <c r="J29" i="3"/>
  <c r="E28" i="3"/>
  <c r="F28" i="3" s="1"/>
  <c r="J14" i="3"/>
  <c r="H13" i="3"/>
  <c r="B25" i="1"/>
  <c r="B27" i="1" s="1"/>
  <c r="J13" i="3" l="1"/>
  <c r="H12" i="3"/>
  <c r="K14" i="3"/>
  <c r="L14" i="3" s="1"/>
  <c r="M14" i="3" s="1"/>
  <c r="Q15" i="3"/>
  <c r="R15" i="3" s="1"/>
  <c r="K29" i="3"/>
  <c r="L29" i="3" s="1"/>
  <c r="M29" i="3" s="1"/>
  <c r="C14" i="3"/>
  <c r="D14" i="3" s="1"/>
  <c r="A13" i="3"/>
  <c r="C30" i="3"/>
  <c r="D30" i="3" s="1"/>
  <c r="A31" i="3"/>
  <c r="J30" i="3"/>
  <c r="H31" i="3"/>
  <c r="E15" i="3"/>
  <c r="F15" i="3" s="1"/>
  <c r="E29" i="3"/>
  <c r="F29" i="3" s="1"/>
  <c r="S16" i="3"/>
  <c r="T16" i="3" s="1"/>
  <c r="B23" i="1"/>
  <c r="B28" i="1" s="1"/>
  <c r="S15" i="3" l="1"/>
  <c r="T15" i="3" s="1"/>
  <c r="E30" i="3"/>
  <c r="F30" i="3" s="1"/>
  <c r="Q14" i="3"/>
  <c r="R14" i="3" s="1"/>
  <c r="E14" i="3"/>
  <c r="F14" i="3" s="1"/>
  <c r="A32" i="3"/>
  <c r="C31" i="3"/>
  <c r="D31" i="3" s="1"/>
  <c r="A12" i="3"/>
  <c r="C13" i="3"/>
  <c r="D13" i="3" s="1"/>
  <c r="J31" i="3"/>
  <c r="H32" i="3"/>
  <c r="H11" i="3"/>
  <c r="J12" i="3"/>
  <c r="L30" i="3"/>
  <c r="M30" i="3" s="1"/>
  <c r="K30" i="3"/>
  <c r="K13" i="3"/>
  <c r="L13" i="3" s="1"/>
  <c r="M13" i="3" s="1"/>
  <c r="K31" i="3" l="1"/>
  <c r="L31" i="3" s="1"/>
  <c r="M31" i="3" s="1"/>
  <c r="E13" i="3"/>
  <c r="F13" i="3" s="1"/>
  <c r="S14" i="3"/>
  <c r="T14" i="3" s="1"/>
  <c r="Q13" i="3"/>
  <c r="R13" i="3" s="1"/>
  <c r="C12" i="3"/>
  <c r="D12" i="3" s="1"/>
  <c r="A11" i="3"/>
  <c r="K12" i="3"/>
  <c r="L12" i="3"/>
  <c r="M12" i="3" s="1"/>
  <c r="E31" i="3"/>
  <c r="F31" i="3" s="1"/>
  <c r="J11" i="3"/>
  <c r="H10" i="3"/>
  <c r="A33" i="3"/>
  <c r="C32" i="3"/>
  <c r="D32" i="3" s="1"/>
  <c r="J32" i="3"/>
  <c r="H33" i="3"/>
  <c r="E32" i="3" l="1"/>
  <c r="F32" i="3" s="1"/>
  <c r="S13" i="3"/>
  <c r="T13" i="3" s="1"/>
  <c r="L32" i="3"/>
  <c r="M32" i="3" s="1"/>
  <c r="K32" i="3"/>
  <c r="K11" i="3"/>
  <c r="L11" i="3" s="1"/>
  <c r="M11" i="3" s="1"/>
  <c r="Q12" i="3"/>
  <c r="R12" i="3" s="1"/>
  <c r="C33" i="3"/>
  <c r="D33" i="3" s="1"/>
  <c r="A34" i="3"/>
  <c r="E12" i="3"/>
  <c r="F12" i="3" s="1"/>
  <c r="J33" i="3"/>
  <c r="H34" i="3"/>
  <c r="H9" i="3"/>
  <c r="J10" i="3"/>
  <c r="A10" i="3"/>
  <c r="C11" i="3"/>
  <c r="D11" i="3" s="1"/>
  <c r="J34" i="3" l="1"/>
  <c r="H35" i="3"/>
  <c r="K33" i="3"/>
  <c r="L33" i="3" s="1"/>
  <c r="M33" i="3" s="1"/>
  <c r="S12" i="3"/>
  <c r="T12" i="3" s="1"/>
  <c r="E11" i="3"/>
  <c r="F11" i="3" s="1"/>
  <c r="E33" i="3"/>
  <c r="F33" i="3" s="1"/>
  <c r="Q11" i="3"/>
  <c r="R11" i="3" s="1"/>
  <c r="C10" i="3"/>
  <c r="D10" i="3" s="1"/>
  <c r="A9" i="3"/>
  <c r="K10" i="3"/>
  <c r="L10" i="3" s="1"/>
  <c r="M10" i="3" s="1"/>
  <c r="C34" i="3"/>
  <c r="D34" i="3" s="1"/>
  <c r="A35" i="3"/>
  <c r="J9" i="3"/>
  <c r="H8" i="3"/>
  <c r="E34" i="3" l="1"/>
  <c r="F34" i="3" s="1"/>
  <c r="E10" i="3"/>
  <c r="F10" i="3" s="1"/>
  <c r="J8" i="3"/>
  <c r="H7" i="3"/>
  <c r="A8" i="3"/>
  <c r="C9" i="3"/>
  <c r="D9" i="3" s="1"/>
  <c r="K9" i="3"/>
  <c r="L9" i="3" s="1"/>
  <c r="M9" i="3" s="1"/>
  <c r="C35" i="3"/>
  <c r="D35" i="3" s="1"/>
  <c r="A36" i="3"/>
  <c r="S11" i="3"/>
  <c r="T11" i="3" s="1"/>
  <c r="Q10" i="3"/>
  <c r="R10" i="3" s="1"/>
  <c r="L34" i="3"/>
  <c r="M34" i="3" s="1"/>
  <c r="K34" i="3"/>
  <c r="H36" i="3"/>
  <c r="J35" i="3"/>
  <c r="S10" i="3" l="1"/>
  <c r="T10" i="3" s="1"/>
  <c r="Q9" i="3"/>
  <c r="R9" i="3" s="1"/>
  <c r="K35" i="3"/>
  <c r="L35" i="3" s="1"/>
  <c r="M35" i="3" s="1"/>
  <c r="C36" i="3"/>
  <c r="D36" i="3" s="1"/>
  <c r="A37" i="3"/>
  <c r="H37" i="3"/>
  <c r="J36" i="3"/>
  <c r="K8" i="3"/>
  <c r="L8" i="3"/>
  <c r="M8" i="3" s="1"/>
  <c r="E9" i="3"/>
  <c r="F9" i="3" s="1"/>
  <c r="E35" i="3"/>
  <c r="F35" i="3" s="1"/>
  <c r="C8" i="3"/>
  <c r="D8" i="3" s="1"/>
  <c r="A7" i="3"/>
  <c r="J7" i="3"/>
  <c r="H6" i="3"/>
  <c r="S9" i="3" l="1"/>
  <c r="T9" i="3" s="1"/>
  <c r="Q8" i="3"/>
  <c r="R8" i="3" s="1"/>
  <c r="K7" i="3"/>
  <c r="L7" i="3" s="1"/>
  <c r="M7" i="3" s="1"/>
  <c r="H5" i="3"/>
  <c r="J6" i="3"/>
  <c r="K36" i="3"/>
  <c r="L36" i="3"/>
  <c r="M36" i="3" s="1"/>
  <c r="E36" i="3"/>
  <c r="F36" i="3" s="1"/>
  <c r="A6" i="3"/>
  <c r="C7" i="3"/>
  <c r="D7" i="3" s="1"/>
  <c r="J37" i="3"/>
  <c r="H38" i="3"/>
  <c r="E8" i="3"/>
  <c r="F8" i="3" s="1"/>
  <c r="C37" i="3"/>
  <c r="D37" i="3" s="1"/>
  <c r="A38" i="3"/>
  <c r="E37" i="3" l="1"/>
  <c r="F37" i="3" s="1"/>
  <c r="S8" i="3"/>
  <c r="T8" i="3" s="1"/>
  <c r="C6" i="3"/>
  <c r="D6" i="3" s="1"/>
  <c r="A5" i="3"/>
  <c r="A39" i="3"/>
  <c r="C38" i="3"/>
  <c r="D38" i="3" s="1"/>
  <c r="J38" i="3"/>
  <c r="H39" i="3"/>
  <c r="H4" i="3"/>
  <c r="J5" i="3"/>
  <c r="E7" i="3"/>
  <c r="F7" i="3" s="1"/>
  <c r="K37" i="3"/>
  <c r="L37" i="3" s="1"/>
  <c r="M37" i="3" s="1"/>
  <c r="L6" i="3"/>
  <c r="M6" i="3" s="1"/>
  <c r="K6" i="3"/>
  <c r="Q7" i="3"/>
  <c r="R7" i="3" s="1"/>
  <c r="E6" i="3" l="1"/>
  <c r="F6" i="3" s="1"/>
  <c r="J39" i="3"/>
  <c r="H40" i="3"/>
  <c r="S7" i="3"/>
  <c r="T7" i="3" s="1"/>
  <c r="E38" i="3"/>
  <c r="F38" i="3" s="1"/>
  <c r="Q6" i="3"/>
  <c r="R6" i="3" s="1"/>
  <c r="A4" i="3"/>
  <c r="C5" i="3"/>
  <c r="D5" i="3" s="1"/>
  <c r="K38" i="3"/>
  <c r="L38" i="3"/>
  <c r="M38" i="3" s="1"/>
  <c r="A40" i="3"/>
  <c r="C39" i="3"/>
  <c r="D39" i="3" s="1"/>
  <c r="K5" i="3"/>
  <c r="L5" i="3" s="1"/>
  <c r="M5" i="3" s="1"/>
  <c r="J4" i="3"/>
  <c r="H3" i="3"/>
  <c r="E39" i="3" l="1"/>
  <c r="F39" i="3" s="1"/>
  <c r="L4" i="3"/>
  <c r="M4" i="3" s="1"/>
  <c r="K4" i="3"/>
  <c r="E5" i="3"/>
  <c r="F5" i="3" s="1"/>
  <c r="Q5" i="3"/>
  <c r="R5" i="3" s="1"/>
  <c r="C40" i="3"/>
  <c r="D40" i="3" s="1"/>
  <c r="A41" i="3"/>
  <c r="C4" i="3"/>
  <c r="D4" i="3" s="1"/>
  <c r="A3" i="3"/>
  <c r="L39" i="3"/>
  <c r="M39" i="3" s="1"/>
  <c r="K39" i="3"/>
  <c r="H2" i="3"/>
  <c r="J2" i="3" s="1"/>
  <c r="J3" i="3"/>
  <c r="S6" i="3"/>
  <c r="T6" i="3" s="1"/>
  <c r="J40" i="3"/>
  <c r="H41" i="3"/>
  <c r="E40" i="3" l="1"/>
  <c r="F40" i="3" s="1"/>
  <c r="E4" i="3"/>
  <c r="F4" i="3" s="1"/>
  <c r="S5" i="3"/>
  <c r="T5" i="3" s="1"/>
  <c r="J41" i="3"/>
  <c r="H42" i="3"/>
  <c r="J42" i="3" s="1"/>
  <c r="C3" i="3"/>
  <c r="D3" i="3" s="1"/>
  <c r="A2" i="3"/>
  <c r="K40" i="3"/>
  <c r="L40" i="3" s="1"/>
  <c r="M40" i="3" s="1"/>
  <c r="C41" i="3"/>
  <c r="D41" i="3" s="1"/>
  <c r="A42" i="3"/>
  <c r="L3" i="3"/>
  <c r="M3" i="3" s="1"/>
  <c r="K3" i="3"/>
  <c r="K2" i="3"/>
  <c r="L2" i="3"/>
  <c r="M2" i="3" s="1"/>
  <c r="Q4" i="3"/>
  <c r="R4" i="3" s="1"/>
  <c r="S4" i="3"/>
  <c r="T4" i="3" s="1"/>
  <c r="E3" i="3" l="1"/>
  <c r="F3" i="3" s="1"/>
  <c r="E41" i="3"/>
  <c r="F41" i="3" s="1"/>
  <c r="Q3" i="3"/>
  <c r="R3" i="3" s="1"/>
  <c r="S3" i="3"/>
  <c r="T3" i="3" s="1"/>
  <c r="C2" i="3"/>
  <c r="D2" i="3" s="1"/>
  <c r="K42" i="3"/>
  <c r="L42" i="3" s="1"/>
  <c r="M42" i="3" s="1"/>
  <c r="C42" i="3"/>
  <c r="D42" i="3" s="1"/>
  <c r="L41" i="3"/>
  <c r="M41" i="3" s="1"/>
  <c r="K41" i="3"/>
  <c r="E2" i="3" l="1"/>
  <c r="F2" i="3" s="1"/>
  <c r="E42" i="3"/>
  <c r="F42" i="3" s="1"/>
  <c r="Q23" i="3"/>
  <c r="R23" i="3" s="1"/>
  <c r="Q24" i="3"/>
  <c r="S24" i="3" l="1"/>
  <c r="T24" i="3" s="1"/>
  <c r="R24" i="3"/>
  <c r="S23" i="3"/>
  <c r="T23" i="3" s="1"/>
  <c r="Q25" i="3" l="1"/>
  <c r="R25" i="3" s="1"/>
  <c r="S25" i="3" l="1"/>
  <c r="T25" i="3" s="1"/>
  <c r="Q26" i="3"/>
  <c r="R26" i="3" s="1"/>
  <c r="S26" i="3" l="1"/>
  <c r="T26" i="3" s="1"/>
  <c r="Q27" i="3"/>
  <c r="R27" i="3" s="1"/>
  <c r="S27" i="3" l="1"/>
  <c r="T27" i="3" s="1"/>
  <c r="Q28" i="3"/>
  <c r="R28" i="3" s="1"/>
  <c r="S28" i="3" l="1"/>
  <c r="T28" i="3" s="1"/>
  <c r="Q29" i="3"/>
  <c r="R29" i="3" s="1"/>
  <c r="S29" i="3" l="1"/>
  <c r="T29" i="3" s="1"/>
  <c r="Q30" i="3"/>
  <c r="R30" i="3" s="1"/>
  <c r="Q31" i="3" l="1"/>
  <c r="R31" i="3" s="1"/>
  <c r="S30" i="3"/>
  <c r="T30" i="3" s="1"/>
  <c r="S31" i="3" l="1"/>
  <c r="T31" i="3" s="1"/>
  <c r="Q32" i="3"/>
  <c r="R32" i="3" s="1"/>
  <c r="Q33" i="3" l="1"/>
  <c r="R33" i="3" s="1"/>
  <c r="S32" i="3"/>
  <c r="T32" i="3" s="1"/>
  <c r="Q34" i="3" l="1"/>
  <c r="R34" i="3" s="1"/>
  <c r="S33" i="3"/>
  <c r="T33" i="3" s="1"/>
  <c r="Q35" i="3" l="1"/>
  <c r="R35" i="3" s="1"/>
  <c r="S34" i="3"/>
  <c r="T34" i="3" s="1"/>
  <c r="S35" i="3" l="1"/>
  <c r="T35" i="3" s="1"/>
  <c r="Q36" i="3"/>
  <c r="R36" i="3" s="1"/>
  <c r="Q37" i="3" l="1"/>
  <c r="R37" i="3" s="1"/>
  <c r="S36" i="3"/>
  <c r="T36" i="3" s="1"/>
  <c r="S37" i="3" l="1"/>
  <c r="T37" i="3" s="1"/>
  <c r="Q38" i="3"/>
  <c r="R38" i="3" s="1"/>
  <c r="S38" i="3" l="1"/>
  <c r="T38" i="3" s="1"/>
  <c r="Q39" i="3"/>
  <c r="R39" i="3" s="1"/>
  <c r="Q40" i="3" l="1"/>
  <c r="R40" i="3" s="1"/>
  <c r="S39" i="3"/>
  <c r="T39" i="3" s="1"/>
  <c r="S40" i="3" l="1"/>
  <c r="T40" i="3" s="1"/>
  <c r="Q41" i="3"/>
  <c r="R41" i="3" s="1"/>
  <c r="Q42" i="3" l="1"/>
  <c r="R42" i="3" s="1"/>
  <c r="S41" i="3"/>
  <c r="T41" i="3" s="1"/>
  <c r="S42" i="3" l="1"/>
  <c r="T4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A6" authorId="0" shapeId="0" xr:uid="{57A85F7F-792A-486B-A6F1-A1A1EBF6AEBC}">
      <text>
        <r>
          <rPr>
            <sz val="9"/>
            <color indexed="81"/>
            <rFont val="Tahoma"/>
            <family val="2"/>
          </rPr>
          <t xml:space="preserve">Option toteutushinta eli strike-hinta.
</t>
        </r>
      </text>
    </comment>
    <comment ref="A7" authorId="0" shapeId="0" xr:uid="{8E1B9CD7-1045-45F4-ADE2-D29E301F0B94}">
      <text>
        <r>
          <rPr>
            <sz val="9"/>
            <color indexed="81"/>
            <rFont val="Tahoma"/>
            <family val="2"/>
          </rPr>
          <t xml:space="preserve">Historiallinen volatiliteetti (esim. osakkeen hinnan keskihajonta).
</t>
        </r>
      </text>
    </comment>
    <comment ref="E8" authorId="0" shapeId="0" xr:uid="{4236F727-9096-4B0C-AB75-7A87148D9811}">
      <text>
        <r>
          <rPr>
            <sz val="9"/>
            <color indexed="81"/>
            <rFont val="Tahoma"/>
            <family val="2"/>
          </rPr>
          <t xml:space="preserve">Implisiittisen volatiliteetin voi laskea esim. excelin ratkaisin -omaisuudella.
Syötä tähän haluttu option hinta. Laita ratkaisimeen tavoitteeksi option hinta (B19 tai B20) ja ao. solun haluttu option hinta-arvo.
Ratkaisin laskee implisiittisen volatiliteetin solussa B7.
</t>
        </r>
      </text>
    </comment>
    <comment ref="A9" authorId="0" shapeId="0" xr:uid="{AFE8E315-82F4-4618-A8E7-2690D02A0DEF}">
      <text>
        <r>
          <rPr>
            <sz val="9"/>
            <color indexed="81"/>
            <rFont val="Tahoma"/>
            <family val="2"/>
          </rPr>
          <t>Aika vuosina, esim. jos option arvoa on jäljellä 10 päivää, niin se jaetaan vuodessa olevien päivien määrälllä, eli 10/365.</t>
        </r>
      </text>
    </comment>
    <comment ref="D17" authorId="0" shapeId="0" xr:uid="{4E0A623C-C5E7-4269-86D6-7F2EB470E685}">
      <text>
        <r>
          <rPr>
            <sz val="9"/>
            <color indexed="81"/>
            <rFont val="Tahoma"/>
            <family val="2"/>
          </rPr>
          <t>Option hinnan muutos per 1 € osakkeen hinnanmuutos. Myös todennäköisyys että optio on in-the-money eräpäivänä.</t>
        </r>
      </text>
    </comment>
    <comment ref="D18" authorId="0" shapeId="0" xr:uid="{078BEA55-5EC9-42B6-9A42-6F535FC57270}">
      <text>
        <r>
          <rPr>
            <sz val="9"/>
            <color indexed="81"/>
            <rFont val="Tahoma"/>
            <family val="2"/>
          </rPr>
          <t>Määrä jonka Delta muuttuu per 1 € osakkeenhinnanmuutos.</t>
        </r>
      </text>
    </comment>
    <comment ref="D19" authorId="0" shapeId="0" xr:uid="{3F30A65C-BC8F-4F17-A2C9-453A9E385A66}">
      <text>
        <r>
          <rPr>
            <sz val="9"/>
            <color indexed="81"/>
            <rFont val="Tahoma"/>
            <family val="2"/>
          </rPr>
          <t>Määrä jonka option hinta muuttuu per 1 %-yks. volatiliteetin muutos.</t>
        </r>
      </text>
    </comment>
    <comment ref="D20" authorId="0" shapeId="0" xr:uid="{996B2A5A-6134-4EE8-9952-89211AFD69CD}">
      <text>
        <r>
          <rPr>
            <sz val="9"/>
            <color indexed="81"/>
            <rFont val="Tahoma"/>
            <family val="2"/>
          </rPr>
          <t>Määrä jonka option hinta muuttu yhtä jäljellä olevaa päivää kohden. Yleensä option arvo alenee ajan kulumisen suhteen.</t>
        </r>
      </text>
    </comment>
    <comment ref="C22" authorId="0" shapeId="0" xr:uid="{7DEF2FBB-CD62-455F-8A46-2403162BA154}">
      <text>
        <r>
          <rPr>
            <sz val="9"/>
            <color indexed="81"/>
            <rFont val="Tahoma"/>
            <family val="2"/>
          </rPr>
          <t>Riippuen optiosta, niiden liikkeelle laskulla voi olla omistusta dilutoiva vaikutus. Tällaisia ovat esim. jotkin warrantit tai kannusteoptiot.</t>
        </r>
      </text>
    </comment>
    <comment ref="E38" authorId="0" shapeId="0" xr:uid="{F1C5D8F1-6519-474B-91D8-E1142BD835A9}">
      <text>
        <r>
          <rPr>
            <sz val="9"/>
            <color indexed="81"/>
            <rFont val="Tahoma"/>
            <family val="2"/>
          </rPr>
          <t xml:space="preserve">Kuviot piirretty periaatteella "ceteris paribus" eli muut tekijät ennallaan.
Kuvio 1: Option hintamuutos, kun kohde-etuuden hinta muuttuu suhteessa toteutushintaan
Kuvio 2: Option hintamuutos, kun volatiliteetti muuttuu
Kuvio 3: Option hintamuutos suhteessa aikaan. Mitä lähemmäksi option juoksuaika tulee, sitä enemmän option hinta laskee suhteessa juoksuaikaan. Lopullinen arvonlasku riippuu miten kaukana kohde-etuuden hinta on toteutushinnasta eräpäivänä.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A5" authorId="0" shapeId="0" xr:uid="{076E1190-3A1C-407E-AE9E-5B5BC32C3017}">
      <text>
        <r>
          <rPr>
            <sz val="9"/>
            <color indexed="81"/>
            <rFont val="Tahoma"/>
            <family val="2"/>
          </rPr>
          <t>Valuutan nykykurssi.</t>
        </r>
      </text>
    </comment>
    <comment ref="A6" authorId="0" shapeId="0" xr:uid="{83858D6B-FCAE-4AB7-9F1D-B4525683FA62}">
      <text>
        <r>
          <rPr>
            <sz val="9"/>
            <color indexed="81"/>
            <rFont val="Tahoma"/>
            <family val="2"/>
          </rPr>
          <t>Option toteutushinta eli strike-hinta.</t>
        </r>
      </text>
    </comment>
    <comment ref="A9" authorId="0" shapeId="0" xr:uid="{87E854BB-13F2-4498-A774-0CC7195FE3B0}">
      <text>
        <r>
          <rPr>
            <sz val="9"/>
            <color indexed="81"/>
            <rFont val="Tahoma"/>
            <family val="2"/>
          </rPr>
          <t xml:space="preserve">Tämä on kotimaisen valuutan maan riskitön korko.
</t>
        </r>
      </text>
    </comment>
    <comment ref="A10" authorId="0" shapeId="0" xr:uid="{9AE2E1EA-38AB-4DCB-878E-EE7D259D3FD1}">
      <text>
        <r>
          <rPr>
            <sz val="9"/>
            <color indexed="81"/>
            <rFont val="Tahoma"/>
            <family val="2"/>
          </rPr>
          <t>Tämä ulkomaan valuutan maan vastaava riskitön korko.</t>
        </r>
      </text>
    </comment>
  </commentList>
</comments>
</file>

<file path=xl/sharedStrings.xml><?xml version="1.0" encoding="utf-8"?>
<sst xmlns="http://schemas.openxmlformats.org/spreadsheetml/2006/main" count="64" uniqueCount="46">
  <si>
    <t>Implisiittinen volatiliteetti</t>
  </si>
  <si>
    <t>Lähtötiedot</t>
  </si>
  <si>
    <t>Laskennan tulos</t>
  </si>
  <si>
    <t>Laskennan tulos diluutiolla (approximaatio)</t>
  </si>
  <si>
    <t>Valuuttaoption arvo Garman-Kohlhagen -hinnoittelumallilla</t>
  </si>
  <si>
    <t>d1</t>
  </si>
  <si>
    <t>d2</t>
  </si>
  <si>
    <t>Hinnoittelee eurooppalaistyylisen option</t>
  </si>
  <si>
    <t>Osto-option hinta</t>
  </si>
  <si>
    <t>Myyntioption hinta</t>
  </si>
  <si>
    <t>Valuuttakurssin Strike-hinta (K)</t>
  </si>
  <si>
    <r>
      <t>Valuuttakurssin Spot-hinta (S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</si>
  <si>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r>
      <t>Kotimainen riskitön korko (r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</si>
  <si>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>Ulkomainen riskitön korko (r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)</t>
    </r>
  </si>
  <si>
    <t>Erääntymisaika vuosina (T)</t>
  </si>
  <si>
    <t>Osakkeen hinta (S)</t>
  </si>
  <si>
    <r>
      <t>Volatiliteetti (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)</t>
    </r>
  </si>
  <si>
    <t>Riskitön korko (r)</t>
  </si>
  <si>
    <t>Toteutushinta (K)</t>
  </si>
  <si>
    <t># Optiomäärä (000)</t>
  </si>
  <si>
    <t># Osakemäärä (000)</t>
  </si>
  <si>
    <t>Erääntymisaika vuotta (T)</t>
  </si>
  <si>
    <t>Delta</t>
  </si>
  <si>
    <t>Gamma</t>
  </si>
  <si>
    <t>Vega</t>
  </si>
  <si>
    <t>Theta</t>
  </si>
  <si>
    <t>Osinkotuotto vuodessa (q)</t>
  </si>
  <si>
    <r>
      <rPr>
        <sz val="8"/>
        <color theme="0"/>
        <rFont val="Calibri"/>
        <family val="2"/>
      </rPr>
      <t>©</t>
    </r>
    <r>
      <rPr>
        <sz val="8"/>
        <color theme="0"/>
        <rFont val="Arial"/>
        <family val="2"/>
      </rPr>
      <t xml:space="preserve"> Pankkiasiat.fi</t>
    </r>
  </si>
  <si>
    <t>Dilutoitu osakkeen hinta</t>
  </si>
  <si>
    <t>d1 (dilutoitu)</t>
  </si>
  <si>
    <t>d2 (dilutoitu)</t>
  </si>
  <si>
    <t>Osto-optio</t>
  </si>
  <si>
    <t>Myyntioptio</t>
  </si>
  <si>
    <t>Osto-option hinta (dilutoitu)</t>
  </si>
  <si>
    <t>Myyntioption hinta (dilutoitu)</t>
  </si>
  <si>
    <t>Hinnoittelee eurooppalaistyylisen valuuttaoption (perustuu BSM-malliin)</t>
  </si>
  <si>
    <t>Tavoite-arvo</t>
  </si>
  <si>
    <t>Pankkiasiat.fi</t>
  </si>
  <si>
    <t>Option arvo Black-Scholes -hinnoittelumallilla</t>
  </si>
  <si>
    <t>S</t>
  </si>
  <si>
    <t>Call</t>
  </si>
  <si>
    <t>Put</t>
  </si>
  <si>
    <t>Vol</t>
  </si>
  <si>
    <t>t</t>
  </si>
  <si>
    <t>Greeks</t>
  </si>
  <si>
    <t>Kuvioiden tulkinta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</si>
</sst>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&quot;$&quot;#,##0.00000"/>
    <numFmt numFmtId="166" formatCode="#,##0.00000"/>
    <numFmt numFmtId="167" formatCode="0.0"/>
    <numFmt numFmtId="168" formatCode="0.0\ 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bscript"/>
      <sz val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1B0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5EB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4" borderId="0" xfId="0" applyFont="1" applyFill="1" applyAlignment="1" applyProtection="1">
      <alignment vertical="center"/>
      <protection locked="0"/>
    </xf>
    <xf numFmtId="0" fontId="5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1" fillId="3" borderId="0" xfId="0" applyFont="1" applyFill="1" applyBorder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Alignment="1" applyProtection="1">
      <protection locked="0"/>
    </xf>
    <xf numFmtId="2" fontId="2" fillId="3" borderId="0" xfId="0" applyNumberFormat="1" applyFont="1" applyFill="1" applyBorder="1" applyAlignment="1" applyProtection="1">
      <protection locked="0"/>
    </xf>
    <xf numFmtId="2" fontId="2" fillId="3" borderId="0" xfId="0" quotePrefix="1" applyNumberFormat="1" applyFont="1" applyFill="1" applyAlignment="1" applyProtection="1">
      <protection locked="0"/>
    </xf>
    <xf numFmtId="2" fontId="2" fillId="3" borderId="0" xfId="0" quotePrefix="1" applyNumberFormat="1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7" fillId="4" borderId="0" xfId="0" applyFont="1" applyFill="1" applyAlignment="1" applyProtection="1">
      <alignment vertical="center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quotePrefix="1" applyFill="1" applyProtection="1">
      <protection locked="0"/>
    </xf>
    <xf numFmtId="0" fontId="5" fillId="3" borderId="0" xfId="0" applyFont="1" applyFill="1" applyProtection="1"/>
    <xf numFmtId="164" fontId="2" fillId="3" borderId="0" xfId="0" applyNumberFormat="1" applyFont="1" applyFill="1" applyBorder="1" applyProtection="1"/>
    <xf numFmtId="0" fontId="5" fillId="0" borderId="0" xfId="0" applyFont="1" applyProtection="1"/>
    <xf numFmtId="2" fontId="1" fillId="5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10" fontId="2" fillId="2" borderId="2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2" fillId="8" borderId="0" xfId="0" applyFont="1" applyFill="1" applyProtection="1">
      <protection locked="0"/>
    </xf>
    <xf numFmtId="2" fontId="0" fillId="9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8" fontId="0" fillId="9" borderId="0" xfId="0" applyNumberFormat="1" applyFill="1" applyProtection="1">
      <protection locked="0"/>
    </xf>
    <xf numFmtId="2" fontId="0" fillId="7" borderId="0" xfId="0" applyNumberFormat="1" applyFill="1" applyProtection="1">
      <protection locked="0"/>
    </xf>
    <xf numFmtId="0" fontId="4" fillId="10" borderId="0" xfId="0" applyFont="1" applyFill="1" applyAlignment="1" applyProtection="1">
      <alignment vertical="center"/>
      <protection locked="0"/>
    </xf>
    <xf numFmtId="0" fontId="5" fillId="10" borderId="0" xfId="0" applyFont="1" applyFill="1" applyProtection="1">
      <protection locked="0"/>
    </xf>
    <xf numFmtId="0" fontId="7" fillId="10" borderId="0" xfId="0" applyFont="1" applyFill="1" applyProtection="1">
      <protection locked="0"/>
    </xf>
    <xf numFmtId="0" fontId="7" fillId="10" borderId="0" xfId="0" applyFont="1" applyFill="1" applyAlignment="1" applyProtection="1">
      <alignment vertical="center"/>
    </xf>
    <xf numFmtId="2" fontId="2" fillId="11" borderId="3" xfId="0" applyNumberFormat="1" applyFont="1" applyFill="1" applyBorder="1" applyProtection="1">
      <protection locked="0"/>
    </xf>
    <xf numFmtId="2" fontId="2" fillId="11" borderId="2" xfId="0" applyNumberFormat="1" applyFont="1" applyFill="1" applyBorder="1" applyProtection="1">
      <protection locked="0"/>
    </xf>
    <xf numFmtId="10" fontId="2" fillId="11" borderId="2" xfId="0" applyNumberFormat="1" applyFont="1" applyFill="1" applyBorder="1" applyProtection="1">
      <protection locked="0"/>
    </xf>
    <xf numFmtId="3" fontId="2" fillId="11" borderId="2" xfId="0" applyNumberFormat="1" applyFont="1" applyFill="1" applyBorder="1" applyProtection="1">
      <protection locked="0"/>
    </xf>
    <xf numFmtId="0" fontId="0" fillId="11" borderId="0" xfId="0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D5EBFF"/>
      <color rgb="FFD60093"/>
      <color rgb="FF0099FF"/>
      <color rgb="FF00CCFF"/>
      <color rgb="FF2A1B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fi-FI">
                <a:latin typeface="Bahnschrift Light" panose="020B0502040204020203" pitchFamily="34" charset="0"/>
              </a:rPr>
              <a:t>Option</a:t>
            </a:r>
            <a:r>
              <a:rPr lang="fi-FI" baseline="0">
                <a:latin typeface="Bahnschrift Light" panose="020B0502040204020203" pitchFamily="34" charset="0"/>
              </a:rPr>
              <a:t> hinta (c,p) suhteessa kohde-etuuden (S) hintaan</a:t>
            </a:r>
            <a:endParaRPr lang="fi-FI">
              <a:latin typeface="Bahnschrift Light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Sarjat!$E$1</c:f>
              <c:strCache>
                <c:ptCount val="1"/>
                <c:pt idx="0">
                  <c:v>Call</c:v>
                </c:pt>
              </c:strCache>
            </c:strRef>
          </c:tx>
          <c:spPr>
            <a:ln w="12700" cap="rnd" cmpd="sng" algn="ctr">
              <a:solidFill>
                <a:srgbClr val="0099FF"/>
              </a:solidFill>
              <a:round/>
            </a:ln>
            <a:effectLst/>
          </c:spPr>
          <c:marker>
            <c:symbol val="none"/>
          </c:marker>
          <c:cat>
            <c:numRef>
              <c:f>Sarjat!$A$2:$A$42</c:f>
              <c:numCache>
                <c:formatCode>General</c:formatCode>
                <c:ptCount val="41"/>
                <c:pt idx="0">
                  <c:v>6.0000000000000053</c:v>
                </c:pt>
                <c:pt idx="1">
                  <c:v>6.2000000000000055</c:v>
                </c:pt>
                <c:pt idx="2">
                  <c:v>6.4000000000000057</c:v>
                </c:pt>
                <c:pt idx="3">
                  <c:v>6.6000000000000059</c:v>
                </c:pt>
                <c:pt idx="4">
                  <c:v>6.800000000000006</c:v>
                </c:pt>
                <c:pt idx="5">
                  <c:v>7.0000000000000062</c:v>
                </c:pt>
                <c:pt idx="6">
                  <c:v>7.2000000000000064</c:v>
                </c:pt>
                <c:pt idx="7">
                  <c:v>7.4000000000000066</c:v>
                </c:pt>
                <c:pt idx="8">
                  <c:v>7.6000000000000068</c:v>
                </c:pt>
                <c:pt idx="9">
                  <c:v>7.8000000000000069</c:v>
                </c:pt>
                <c:pt idx="10">
                  <c:v>8.0000000000000071</c:v>
                </c:pt>
                <c:pt idx="11">
                  <c:v>8.2000000000000064</c:v>
                </c:pt>
                <c:pt idx="12">
                  <c:v>8.4000000000000057</c:v>
                </c:pt>
                <c:pt idx="13">
                  <c:v>8.600000000000005</c:v>
                </c:pt>
                <c:pt idx="14">
                  <c:v>8.8000000000000043</c:v>
                </c:pt>
                <c:pt idx="15" formatCode="0.0">
                  <c:v>9.0000000000000036</c:v>
                </c:pt>
                <c:pt idx="16">
                  <c:v>9.2000000000000028</c:v>
                </c:pt>
                <c:pt idx="17">
                  <c:v>9.4000000000000021</c:v>
                </c:pt>
                <c:pt idx="18">
                  <c:v>9.6000000000000014</c:v>
                </c:pt>
                <c:pt idx="19">
                  <c:v>9.8000000000000007</c:v>
                </c:pt>
                <c:pt idx="20" formatCode="0.00">
                  <c:v>10</c:v>
                </c:pt>
                <c:pt idx="21">
                  <c:v>10.199999999999999</c:v>
                </c:pt>
                <c:pt idx="22">
                  <c:v>10.399999999999999</c:v>
                </c:pt>
                <c:pt idx="23">
                  <c:v>10.599999999999998</c:v>
                </c:pt>
                <c:pt idx="24">
                  <c:v>10.799999999999997</c:v>
                </c:pt>
                <c:pt idx="25">
                  <c:v>10.999999999999996</c:v>
                </c:pt>
                <c:pt idx="26">
                  <c:v>11.199999999999996</c:v>
                </c:pt>
                <c:pt idx="27">
                  <c:v>11.399999999999995</c:v>
                </c:pt>
                <c:pt idx="28">
                  <c:v>11.599999999999994</c:v>
                </c:pt>
                <c:pt idx="29">
                  <c:v>11.799999999999994</c:v>
                </c:pt>
                <c:pt idx="30">
                  <c:v>11.999999999999993</c:v>
                </c:pt>
                <c:pt idx="31">
                  <c:v>12.199999999999992</c:v>
                </c:pt>
                <c:pt idx="32">
                  <c:v>12.399999999999991</c:v>
                </c:pt>
                <c:pt idx="33">
                  <c:v>12.599999999999991</c:v>
                </c:pt>
                <c:pt idx="34">
                  <c:v>12.79999999999999</c:v>
                </c:pt>
                <c:pt idx="35">
                  <c:v>12.999999999999989</c:v>
                </c:pt>
                <c:pt idx="36">
                  <c:v>13.199999999999989</c:v>
                </c:pt>
                <c:pt idx="37">
                  <c:v>13.399999999999988</c:v>
                </c:pt>
                <c:pt idx="38">
                  <c:v>13.599999999999987</c:v>
                </c:pt>
                <c:pt idx="39">
                  <c:v>13.799999999999986</c:v>
                </c:pt>
                <c:pt idx="40">
                  <c:v>13.999999999999986</c:v>
                </c:pt>
              </c:numCache>
            </c:numRef>
          </c:cat>
          <c:val>
            <c:numRef>
              <c:f>Sarjat!$E$2:$E$42</c:f>
              <c:numCache>
                <c:formatCode>General</c:formatCode>
                <c:ptCount val="41"/>
                <c:pt idx="0">
                  <c:v>0.30098027768758184</c:v>
                </c:pt>
                <c:pt idx="1">
                  <c:v>0.35207265525263587</c:v>
                </c:pt>
                <c:pt idx="2">
                  <c:v>0.40817097517889911</c:v>
                </c:pt>
                <c:pt idx="3">
                  <c:v>0.46933474399477904</c:v>
                </c:pt>
                <c:pt idx="4">
                  <c:v>0.53559501487228123</c:v>
                </c:pt>
                <c:pt idx="5">
                  <c:v>0.60695639433083715</c:v>
                </c:pt>
                <c:pt idx="6">
                  <c:v>0.68339923163101002</c:v>
                </c:pt>
                <c:pt idx="7">
                  <c:v>0.76488191205335587</c:v>
                </c:pt>
                <c:pt idx="8">
                  <c:v>0.85134318815193044</c:v>
                </c:pt>
                <c:pt idx="9">
                  <c:v>0.94270449522052902</c:v>
                </c:pt>
                <c:pt idx="10">
                  <c:v>1.0388722083100408</c:v>
                </c:pt>
                <c:pt idx="11">
                  <c:v>1.1397398080256935</c:v>
                </c:pt>
                <c:pt idx="12">
                  <c:v>1.245189930955481</c:v>
                </c:pt>
                <c:pt idx="13">
                  <c:v>1.355096287950694</c:v>
                </c:pt>
                <c:pt idx="14">
                  <c:v>1.4693254396604707</c:v>
                </c:pt>
                <c:pt idx="15">
                  <c:v>1.5877384238086556</c:v>
                </c:pt>
                <c:pt idx="16">
                  <c:v>1.7101922328041619</c:v>
                </c:pt>
                <c:pt idx="17">
                  <c:v>1.836541143512382</c:v>
                </c:pt>
                <c:pt idx="18">
                  <c:v>1.9666379035015078</c:v>
                </c:pt>
                <c:pt idx="19">
                  <c:v>2.1003347799250562</c:v>
                </c:pt>
                <c:pt idx="20">
                  <c:v>2.237484478513327</c:v>
                </c:pt>
                <c:pt idx="21">
                  <c:v>2.3779409410146997</c:v>
                </c:pt>
                <c:pt idx="22">
                  <c:v>2.5215600299353857</c:v>
                </c:pt>
                <c:pt idx="23">
                  <c:v>2.6682001096452792</c:v>
                </c:pt>
                <c:pt idx="24">
                  <c:v>2.8177225329097961</c:v>
                </c:pt>
                <c:pt idx="25">
                  <c:v>2.9699920417258241</c:v>
                </c:pt>
                <c:pt idx="26">
                  <c:v>3.1248770910280053</c:v>
                </c:pt>
                <c:pt idx="27">
                  <c:v>3.2822501034262395</c:v>
                </c:pt>
                <c:pt idx="28">
                  <c:v>3.4419876626663237</c:v>
                </c:pt>
                <c:pt idx="29">
                  <c:v>3.6039706529972113</c:v>
                </c:pt>
                <c:pt idx="30">
                  <c:v>3.7680843510997635</c:v>
                </c:pt>
                <c:pt idx="31">
                  <c:v>3.9342184766979962</c:v>
                </c:pt>
                <c:pt idx="32">
                  <c:v>4.1022672074463804</c:v>
                </c:pt>
                <c:pt idx="33">
                  <c:v>4.2721291631743874</c:v>
                </c:pt>
                <c:pt idx="34">
                  <c:v>4.4437073640783753</c:v>
                </c:pt>
                <c:pt idx="35">
                  <c:v>4.6169091669855344</c:v>
                </c:pt>
                <c:pt idx="36">
                  <c:v>4.7916461833777664</c:v>
                </c:pt>
                <c:pt idx="37">
                  <c:v>4.9678341824565146</c:v>
                </c:pt>
                <c:pt idx="38">
                  <c:v>5.1453929821533757</c:v>
                </c:pt>
                <c:pt idx="39">
                  <c:v>5.3242463306457832</c:v>
                </c:pt>
                <c:pt idx="40">
                  <c:v>5.5043217806211384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E-44FF-8E71-F798CF28BFCE}"/>
            </c:ext>
          </c:extLst>
        </c:ser>
        <c:ser>
          <c:idx val="1"/>
          <c:order val="1"/>
          <c:tx>
            <c:strRef>
              <c:f>Sarjat!$F$1</c:f>
              <c:strCache>
                <c:ptCount val="1"/>
                <c:pt idx="0">
                  <c:v>Put</c:v>
                </c:pt>
              </c:strCache>
            </c:strRef>
          </c:tx>
          <c:spPr>
            <a:ln w="12700" cap="rnd" cmpd="sng" algn="ctr">
              <a:solidFill>
                <a:srgbClr val="D60093"/>
              </a:solidFill>
              <a:round/>
            </a:ln>
            <a:effectLst/>
          </c:spPr>
          <c:marker>
            <c:symbol val="none"/>
          </c:marker>
          <c:cat>
            <c:numRef>
              <c:f>Sarjat!$A$2:$A$42</c:f>
              <c:numCache>
                <c:formatCode>General</c:formatCode>
                <c:ptCount val="41"/>
                <c:pt idx="0">
                  <c:v>6.0000000000000053</c:v>
                </c:pt>
                <c:pt idx="1">
                  <c:v>6.2000000000000055</c:v>
                </c:pt>
                <c:pt idx="2">
                  <c:v>6.4000000000000057</c:v>
                </c:pt>
                <c:pt idx="3">
                  <c:v>6.6000000000000059</c:v>
                </c:pt>
                <c:pt idx="4">
                  <c:v>6.800000000000006</c:v>
                </c:pt>
                <c:pt idx="5">
                  <c:v>7.0000000000000062</c:v>
                </c:pt>
                <c:pt idx="6">
                  <c:v>7.2000000000000064</c:v>
                </c:pt>
                <c:pt idx="7">
                  <c:v>7.4000000000000066</c:v>
                </c:pt>
                <c:pt idx="8">
                  <c:v>7.6000000000000068</c:v>
                </c:pt>
                <c:pt idx="9">
                  <c:v>7.8000000000000069</c:v>
                </c:pt>
                <c:pt idx="10">
                  <c:v>8.0000000000000071</c:v>
                </c:pt>
                <c:pt idx="11">
                  <c:v>8.2000000000000064</c:v>
                </c:pt>
                <c:pt idx="12">
                  <c:v>8.4000000000000057</c:v>
                </c:pt>
                <c:pt idx="13">
                  <c:v>8.600000000000005</c:v>
                </c:pt>
                <c:pt idx="14">
                  <c:v>8.8000000000000043</c:v>
                </c:pt>
                <c:pt idx="15" formatCode="0.0">
                  <c:v>9.0000000000000036</c:v>
                </c:pt>
                <c:pt idx="16">
                  <c:v>9.2000000000000028</c:v>
                </c:pt>
                <c:pt idx="17">
                  <c:v>9.4000000000000021</c:v>
                </c:pt>
                <c:pt idx="18">
                  <c:v>9.6000000000000014</c:v>
                </c:pt>
                <c:pt idx="19">
                  <c:v>9.8000000000000007</c:v>
                </c:pt>
                <c:pt idx="20" formatCode="0.00">
                  <c:v>10</c:v>
                </c:pt>
                <c:pt idx="21">
                  <c:v>10.199999999999999</c:v>
                </c:pt>
                <c:pt idx="22">
                  <c:v>10.399999999999999</c:v>
                </c:pt>
                <c:pt idx="23">
                  <c:v>10.599999999999998</c:v>
                </c:pt>
                <c:pt idx="24">
                  <c:v>10.799999999999997</c:v>
                </c:pt>
                <c:pt idx="25">
                  <c:v>10.999999999999996</c:v>
                </c:pt>
                <c:pt idx="26">
                  <c:v>11.199999999999996</c:v>
                </c:pt>
                <c:pt idx="27">
                  <c:v>11.399999999999995</c:v>
                </c:pt>
                <c:pt idx="28">
                  <c:v>11.599999999999994</c:v>
                </c:pt>
                <c:pt idx="29">
                  <c:v>11.799999999999994</c:v>
                </c:pt>
                <c:pt idx="30">
                  <c:v>11.999999999999993</c:v>
                </c:pt>
                <c:pt idx="31">
                  <c:v>12.199999999999992</c:v>
                </c:pt>
                <c:pt idx="32">
                  <c:v>12.399999999999991</c:v>
                </c:pt>
                <c:pt idx="33">
                  <c:v>12.599999999999991</c:v>
                </c:pt>
                <c:pt idx="34">
                  <c:v>12.79999999999999</c:v>
                </c:pt>
                <c:pt idx="35">
                  <c:v>12.999999999999989</c:v>
                </c:pt>
                <c:pt idx="36">
                  <c:v>13.199999999999989</c:v>
                </c:pt>
                <c:pt idx="37">
                  <c:v>13.399999999999988</c:v>
                </c:pt>
                <c:pt idx="38">
                  <c:v>13.599999999999987</c:v>
                </c:pt>
                <c:pt idx="39">
                  <c:v>13.799999999999986</c:v>
                </c:pt>
                <c:pt idx="40">
                  <c:v>13.999999999999986</c:v>
                </c:pt>
              </c:numCache>
            </c:numRef>
          </c:cat>
          <c:val>
            <c:numRef>
              <c:f>Sarjat!$F$2:$F$42</c:f>
              <c:numCache>
                <c:formatCode>General</c:formatCode>
                <c:ptCount val="41"/>
                <c:pt idx="0">
                  <c:v>3.1227683374483739</c:v>
                </c:pt>
                <c:pt idx="1">
                  <c:v>2.9738607150134273</c:v>
                </c:pt>
                <c:pt idx="2">
                  <c:v>2.8299590349396908</c:v>
                </c:pt>
                <c:pt idx="3">
                  <c:v>2.6911228037555706</c:v>
                </c:pt>
                <c:pt idx="4">
                  <c:v>2.5573830746330719</c:v>
                </c:pt>
                <c:pt idx="5">
                  <c:v>2.4287444540916283</c:v>
                </c:pt>
                <c:pt idx="6">
                  <c:v>2.3051872913918006</c:v>
                </c:pt>
                <c:pt idx="7">
                  <c:v>2.1866699718141458</c:v>
                </c:pt>
                <c:pt idx="8">
                  <c:v>2.0731312479127206</c:v>
                </c:pt>
                <c:pt idx="9">
                  <c:v>1.9644925549813195</c:v>
                </c:pt>
                <c:pt idx="10">
                  <c:v>1.8606602680708306</c:v>
                </c:pt>
                <c:pt idx="11">
                  <c:v>1.7615278677864836</c:v>
                </c:pt>
                <c:pt idx="12">
                  <c:v>1.6669779907162727</c:v>
                </c:pt>
                <c:pt idx="13">
                  <c:v>1.576884347711486</c:v>
                </c:pt>
                <c:pt idx="14">
                  <c:v>1.4911134994212638</c:v>
                </c:pt>
                <c:pt idx="15">
                  <c:v>1.409526483569449</c:v>
                </c:pt>
                <c:pt idx="16">
                  <c:v>1.331980292564956</c:v>
                </c:pt>
                <c:pt idx="17">
                  <c:v>1.2583292032731768</c:v>
                </c:pt>
                <c:pt idx="18">
                  <c:v>1.1884259632623033</c:v>
                </c:pt>
                <c:pt idx="19">
                  <c:v>1.1221228396858525</c:v>
                </c:pt>
                <c:pt idx="20">
                  <c:v>1.0592725382741239</c:v>
                </c:pt>
                <c:pt idx="21">
                  <c:v>0.99972900077549731</c:v>
                </c:pt>
                <c:pt idx="22">
                  <c:v>0.94334808969618411</c:v>
                </c:pt>
                <c:pt idx="23">
                  <c:v>0.88998816940607828</c:v>
                </c:pt>
                <c:pt idx="24">
                  <c:v>0.83951059267059591</c:v>
                </c:pt>
                <c:pt idx="25">
                  <c:v>0.79178010148662459</c:v>
                </c:pt>
                <c:pt idx="26">
                  <c:v>0.74666515078880558</c:v>
                </c:pt>
                <c:pt idx="27">
                  <c:v>0.70403816318704138</c:v>
                </c:pt>
                <c:pt idx="28">
                  <c:v>0.66377572242712723</c:v>
                </c:pt>
                <c:pt idx="29">
                  <c:v>0.62575871275801553</c:v>
                </c:pt>
                <c:pt idx="30">
                  <c:v>0.58987241086056663</c:v>
                </c:pt>
                <c:pt idx="31">
                  <c:v>0.55600653645880094</c:v>
                </c:pt>
                <c:pt idx="32">
                  <c:v>0.52405526720718676</c:v>
                </c:pt>
                <c:pt idx="33">
                  <c:v>0.49391722293519358</c:v>
                </c:pt>
                <c:pt idx="34">
                  <c:v>0.4654954238391813</c:v>
                </c:pt>
                <c:pt idx="35">
                  <c:v>0.43869722674634204</c:v>
                </c:pt>
                <c:pt idx="36">
                  <c:v>0.41343424313857469</c:v>
                </c:pt>
                <c:pt idx="37">
                  <c:v>0.38962224221732278</c:v>
                </c:pt>
                <c:pt idx="38">
                  <c:v>0.36718104191418455</c:v>
                </c:pt>
                <c:pt idx="39">
                  <c:v>0.34603439040659367</c:v>
                </c:pt>
                <c:pt idx="40">
                  <c:v>0.32610984038194957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E-44FF-8E71-F798CF28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05160063"/>
        <c:axId val="1940458463"/>
      </c:lineChart>
      <c:catAx>
        <c:axId val="2105160063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fi-FI"/>
          </a:p>
        </c:txPr>
        <c:crossAx val="1940458463"/>
        <c:crosses val="autoZero"/>
        <c:auto val="1"/>
        <c:lblAlgn val="ctr"/>
        <c:lblOffset val="100"/>
        <c:noMultiLvlLbl val="0"/>
      </c:catAx>
      <c:valAx>
        <c:axId val="1940458463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516006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fi-FI">
                <a:latin typeface="Bahnschrift Light" panose="020B0502040204020203" pitchFamily="34" charset="0"/>
              </a:rPr>
              <a:t>Option</a:t>
            </a:r>
            <a:r>
              <a:rPr lang="fi-FI" baseline="0">
                <a:latin typeface="Bahnschrift Light" panose="020B0502040204020203" pitchFamily="34" charset="0"/>
              </a:rPr>
              <a:t> hinta (c,p) suhteessa volatiliteettiin (</a:t>
            </a:r>
            <a:r>
              <a:rPr lang="el-GR" baseline="0">
                <a:latin typeface="Bahnschrift Light" panose="020B0502040204020203" pitchFamily="34" charset="0"/>
              </a:rPr>
              <a:t>σ</a:t>
            </a:r>
            <a:r>
              <a:rPr lang="fi-FI" baseline="0">
                <a:latin typeface="Bahnschrift Light" panose="020B0502040204020203" pitchFamily="34" charset="0"/>
              </a:rPr>
              <a:t>)</a:t>
            </a:r>
            <a:endParaRPr lang="fi-FI">
              <a:latin typeface="Bahnschrift Light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Sarjat!$E$1</c:f>
              <c:strCache>
                <c:ptCount val="1"/>
                <c:pt idx="0">
                  <c:v>Call</c:v>
                </c:pt>
              </c:strCache>
            </c:strRef>
          </c:tx>
          <c:spPr>
            <a:ln w="12700" cap="rnd" cmpd="sng" algn="ctr">
              <a:solidFill>
                <a:srgbClr val="0099FF"/>
              </a:solidFill>
              <a:round/>
            </a:ln>
            <a:effectLst/>
          </c:spPr>
          <c:marker>
            <c:symbol val="none"/>
          </c:marker>
          <c:cat>
            <c:numRef>
              <c:f>Sarjat!$H$2:$H$42</c:f>
              <c:numCache>
                <c:formatCode>0.0\ %</c:formatCode>
                <c:ptCount val="41"/>
                <c:pt idx="0">
                  <c:v>0.17999999999999988</c:v>
                </c:pt>
                <c:pt idx="1">
                  <c:v>0.18599999999999989</c:v>
                </c:pt>
                <c:pt idx="2">
                  <c:v>0.19199999999999989</c:v>
                </c:pt>
                <c:pt idx="3">
                  <c:v>0.1979999999999999</c:v>
                </c:pt>
                <c:pt idx="4">
                  <c:v>0.2039999999999999</c:v>
                </c:pt>
                <c:pt idx="5">
                  <c:v>0.20999999999999991</c:v>
                </c:pt>
                <c:pt idx="6">
                  <c:v>0.21599999999999991</c:v>
                </c:pt>
                <c:pt idx="7">
                  <c:v>0.22199999999999992</c:v>
                </c:pt>
                <c:pt idx="8">
                  <c:v>0.22799999999999992</c:v>
                </c:pt>
                <c:pt idx="9">
                  <c:v>0.23399999999999993</c:v>
                </c:pt>
                <c:pt idx="10">
                  <c:v>0.23999999999999994</c:v>
                </c:pt>
                <c:pt idx="11">
                  <c:v>0.24599999999999994</c:v>
                </c:pt>
                <c:pt idx="12">
                  <c:v>0.25199999999999995</c:v>
                </c:pt>
                <c:pt idx="13">
                  <c:v>0.25799999999999995</c:v>
                </c:pt>
                <c:pt idx="14">
                  <c:v>0.26399999999999996</c:v>
                </c:pt>
                <c:pt idx="15">
                  <c:v>0.26999999999999996</c:v>
                </c:pt>
                <c:pt idx="16">
                  <c:v>0.27599999999999997</c:v>
                </c:pt>
                <c:pt idx="17">
                  <c:v>0.28199999999999997</c:v>
                </c:pt>
                <c:pt idx="18">
                  <c:v>0.28799999999999998</c:v>
                </c:pt>
                <c:pt idx="19">
                  <c:v>0.29399999999999998</c:v>
                </c:pt>
                <c:pt idx="20">
                  <c:v>0.3</c:v>
                </c:pt>
                <c:pt idx="21">
                  <c:v>0.30599999999999999</c:v>
                </c:pt>
                <c:pt idx="22">
                  <c:v>0.312</c:v>
                </c:pt>
                <c:pt idx="23">
                  <c:v>0.318</c:v>
                </c:pt>
                <c:pt idx="24">
                  <c:v>0.32400000000000001</c:v>
                </c:pt>
                <c:pt idx="25">
                  <c:v>0.33</c:v>
                </c:pt>
                <c:pt idx="26">
                  <c:v>0.33600000000000002</c:v>
                </c:pt>
                <c:pt idx="27">
                  <c:v>0.34200000000000003</c:v>
                </c:pt>
                <c:pt idx="28">
                  <c:v>0.34800000000000003</c:v>
                </c:pt>
                <c:pt idx="29">
                  <c:v>0.35400000000000004</c:v>
                </c:pt>
                <c:pt idx="30">
                  <c:v>0.36000000000000004</c:v>
                </c:pt>
                <c:pt idx="31">
                  <c:v>0.36600000000000005</c:v>
                </c:pt>
                <c:pt idx="32">
                  <c:v>0.37200000000000005</c:v>
                </c:pt>
                <c:pt idx="33">
                  <c:v>0.37800000000000006</c:v>
                </c:pt>
                <c:pt idx="34">
                  <c:v>0.38400000000000006</c:v>
                </c:pt>
                <c:pt idx="35">
                  <c:v>0.39000000000000007</c:v>
                </c:pt>
                <c:pt idx="36">
                  <c:v>0.39600000000000007</c:v>
                </c:pt>
                <c:pt idx="37">
                  <c:v>0.40200000000000008</c:v>
                </c:pt>
                <c:pt idx="38">
                  <c:v>0.40800000000000008</c:v>
                </c:pt>
                <c:pt idx="39">
                  <c:v>0.41400000000000009</c:v>
                </c:pt>
                <c:pt idx="40">
                  <c:v>0.4200000000000001</c:v>
                </c:pt>
              </c:numCache>
            </c:numRef>
          </c:cat>
          <c:val>
            <c:numRef>
              <c:f>Sarjat!$L$2:$L$42</c:f>
              <c:numCache>
                <c:formatCode>General</c:formatCode>
                <c:ptCount val="41"/>
                <c:pt idx="0">
                  <c:v>1.6547499125606482</c:v>
                </c:pt>
                <c:pt idx="1">
                  <c:v>1.6827884634248615</c:v>
                </c:pt>
                <c:pt idx="2">
                  <c:v>1.7110176442831966</c:v>
                </c:pt>
                <c:pt idx="3">
                  <c:v>1.7394192988964372</c:v>
                </c:pt>
                <c:pt idx="4">
                  <c:v>1.767977162766015</c:v>
                </c:pt>
                <c:pt idx="5">
                  <c:v>1.7966766212154583</c:v>
                </c:pt>
                <c:pt idx="6">
                  <c:v>1.8255045028114072</c:v>
                </c:pt>
                <c:pt idx="7">
                  <c:v>1.8544489024153492</c:v>
                </c:pt>
                <c:pt idx="8">
                  <c:v>1.8834990291503058</c:v>
                </c:pt>
                <c:pt idx="9">
                  <c:v>1.9126450753785607</c:v>
                </c:pt>
                <c:pt idx="10">
                  <c:v>1.9418781034509296</c:v>
                </c:pt>
                <c:pt idx="11">
                  <c:v>1.9711899475323644</c:v>
                </c:pt>
                <c:pt idx="12">
                  <c:v>2.0005731282553105</c:v>
                </c:pt>
                <c:pt idx="13">
                  <c:v>2.0300207783197264</c:v>
                </c:pt>
                <c:pt idx="14">
                  <c:v>2.0595265774614635</c:v>
                </c:pt>
                <c:pt idx="15">
                  <c:v>2.0890846954610849</c:v>
                </c:pt>
                <c:pt idx="16">
                  <c:v>2.1186897420725836</c:v>
                </c:pt>
                <c:pt idx="17">
                  <c:v>2.1483367229237933</c:v>
                </c:pt>
                <c:pt idx="18">
                  <c:v>2.1780210005839402</c:v>
                </c:pt>
                <c:pt idx="19">
                  <c:v>2.2077382601136577</c:v>
                </c:pt>
                <c:pt idx="20">
                  <c:v>2.237484478513327</c:v>
                </c:pt>
                <c:pt idx="21">
                  <c:v>2.2672558975700783</c:v>
                </c:pt>
                <c:pt idx="22">
                  <c:v>2.2970489996747654</c:v>
                </c:pt>
                <c:pt idx="23">
                  <c:v>2.3268604862404771</c:v>
                </c:pt>
                <c:pt idx="24">
                  <c:v>2.3566872584047776</c:v>
                </c:pt>
                <c:pt idx="25">
                  <c:v>2.386526399741288</c:v>
                </c:pt>
                <c:pt idx="26">
                  <c:v>2.4163751607427573</c:v>
                </c:pt>
                <c:pt idx="27">
                  <c:v>2.4462309448692849</c:v>
                </c:pt>
                <c:pt idx="28">
                  <c:v>2.4760912959820613</c:v>
                </c:pt>
                <c:pt idx="29">
                  <c:v>2.5059538870060862</c:v>
                </c:pt>
                <c:pt idx="30">
                  <c:v>2.5358165096850023</c:v>
                </c:pt>
                <c:pt idx="31">
                  <c:v>2.565677065308261</c:v>
                </c:pt>
                <c:pt idx="32">
                  <c:v>2.5955335563054787</c:v>
                </c:pt>
                <c:pt idx="33">
                  <c:v>2.6253840786155811</c:v>
                </c:pt>
                <c:pt idx="34">
                  <c:v>2.6552268147493763</c:v>
                </c:pt>
                <c:pt idx="35">
                  <c:v>2.6850600274736722</c:v>
                </c:pt>
                <c:pt idx="36">
                  <c:v>2.7148820540534944</c:v>
                </c:pt>
                <c:pt idx="37">
                  <c:v>2.744691300996168</c:v>
                </c:pt>
                <c:pt idx="38">
                  <c:v>2.7744862392473619</c:v>
                </c:pt>
                <c:pt idx="39">
                  <c:v>2.8042653997947964</c:v>
                </c:pt>
                <c:pt idx="40">
                  <c:v>2.8340273696401495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5-4F34-941C-4DDF8C98C62A}"/>
            </c:ext>
          </c:extLst>
        </c:ser>
        <c:ser>
          <c:idx val="1"/>
          <c:order val="1"/>
          <c:tx>
            <c:strRef>
              <c:f>Sarjat!$F$1</c:f>
              <c:strCache>
                <c:ptCount val="1"/>
                <c:pt idx="0">
                  <c:v>Put</c:v>
                </c:pt>
              </c:strCache>
            </c:strRef>
          </c:tx>
          <c:spPr>
            <a:ln w="12700" cap="rnd" cmpd="sng" algn="ctr">
              <a:solidFill>
                <a:srgbClr val="D60093"/>
              </a:solidFill>
              <a:round/>
            </a:ln>
            <a:effectLst/>
          </c:spPr>
          <c:marker>
            <c:symbol val="none"/>
          </c:marker>
          <c:cat>
            <c:numRef>
              <c:f>Sarjat!$H$2:$H$42</c:f>
              <c:numCache>
                <c:formatCode>0.0\ %</c:formatCode>
                <c:ptCount val="41"/>
                <c:pt idx="0">
                  <c:v>0.17999999999999988</c:v>
                </c:pt>
                <c:pt idx="1">
                  <c:v>0.18599999999999989</c:v>
                </c:pt>
                <c:pt idx="2">
                  <c:v>0.19199999999999989</c:v>
                </c:pt>
                <c:pt idx="3">
                  <c:v>0.1979999999999999</c:v>
                </c:pt>
                <c:pt idx="4">
                  <c:v>0.2039999999999999</c:v>
                </c:pt>
                <c:pt idx="5">
                  <c:v>0.20999999999999991</c:v>
                </c:pt>
                <c:pt idx="6">
                  <c:v>0.21599999999999991</c:v>
                </c:pt>
                <c:pt idx="7">
                  <c:v>0.22199999999999992</c:v>
                </c:pt>
                <c:pt idx="8">
                  <c:v>0.22799999999999992</c:v>
                </c:pt>
                <c:pt idx="9">
                  <c:v>0.23399999999999993</c:v>
                </c:pt>
                <c:pt idx="10">
                  <c:v>0.23999999999999994</c:v>
                </c:pt>
                <c:pt idx="11">
                  <c:v>0.24599999999999994</c:v>
                </c:pt>
                <c:pt idx="12">
                  <c:v>0.25199999999999995</c:v>
                </c:pt>
                <c:pt idx="13">
                  <c:v>0.25799999999999995</c:v>
                </c:pt>
                <c:pt idx="14">
                  <c:v>0.26399999999999996</c:v>
                </c:pt>
                <c:pt idx="15">
                  <c:v>0.26999999999999996</c:v>
                </c:pt>
                <c:pt idx="16">
                  <c:v>0.27599999999999997</c:v>
                </c:pt>
                <c:pt idx="17">
                  <c:v>0.28199999999999997</c:v>
                </c:pt>
                <c:pt idx="18">
                  <c:v>0.28799999999999998</c:v>
                </c:pt>
                <c:pt idx="19">
                  <c:v>0.29399999999999998</c:v>
                </c:pt>
                <c:pt idx="20">
                  <c:v>0.3</c:v>
                </c:pt>
                <c:pt idx="21">
                  <c:v>0.30599999999999999</c:v>
                </c:pt>
                <c:pt idx="22">
                  <c:v>0.312</c:v>
                </c:pt>
                <c:pt idx="23">
                  <c:v>0.318</c:v>
                </c:pt>
                <c:pt idx="24">
                  <c:v>0.32400000000000001</c:v>
                </c:pt>
                <c:pt idx="25">
                  <c:v>0.33</c:v>
                </c:pt>
                <c:pt idx="26">
                  <c:v>0.33600000000000002</c:v>
                </c:pt>
                <c:pt idx="27">
                  <c:v>0.34200000000000003</c:v>
                </c:pt>
                <c:pt idx="28">
                  <c:v>0.34800000000000003</c:v>
                </c:pt>
                <c:pt idx="29">
                  <c:v>0.35400000000000004</c:v>
                </c:pt>
                <c:pt idx="30">
                  <c:v>0.36000000000000004</c:v>
                </c:pt>
                <c:pt idx="31">
                  <c:v>0.36600000000000005</c:v>
                </c:pt>
                <c:pt idx="32">
                  <c:v>0.37200000000000005</c:v>
                </c:pt>
                <c:pt idx="33">
                  <c:v>0.37800000000000006</c:v>
                </c:pt>
                <c:pt idx="34">
                  <c:v>0.38400000000000006</c:v>
                </c:pt>
                <c:pt idx="35">
                  <c:v>0.39000000000000007</c:v>
                </c:pt>
                <c:pt idx="36">
                  <c:v>0.39600000000000007</c:v>
                </c:pt>
                <c:pt idx="37">
                  <c:v>0.40200000000000008</c:v>
                </c:pt>
                <c:pt idx="38">
                  <c:v>0.40800000000000008</c:v>
                </c:pt>
                <c:pt idx="39">
                  <c:v>0.41400000000000009</c:v>
                </c:pt>
                <c:pt idx="40">
                  <c:v>0.4200000000000001</c:v>
                </c:pt>
              </c:numCache>
            </c:numRef>
          </c:cat>
          <c:val>
            <c:numRef>
              <c:f>Sarjat!$M$2:$M$42</c:f>
              <c:numCache>
                <c:formatCode>General</c:formatCode>
                <c:ptCount val="41"/>
                <c:pt idx="0">
                  <c:v>0.47653797232144512</c:v>
                </c:pt>
                <c:pt idx="1">
                  <c:v>0.50457652318565849</c:v>
                </c:pt>
                <c:pt idx="2">
                  <c:v>0.53280570404399263</c:v>
                </c:pt>
                <c:pt idx="3">
                  <c:v>0.56120735865723326</c:v>
                </c:pt>
                <c:pt idx="4">
                  <c:v>0.58976522252681285</c:v>
                </c:pt>
                <c:pt idx="5">
                  <c:v>0.6184646809762544</c:v>
                </c:pt>
                <c:pt idx="6">
                  <c:v>0.64729256257220413</c:v>
                </c:pt>
                <c:pt idx="7">
                  <c:v>0.67623696217614615</c:v>
                </c:pt>
                <c:pt idx="8">
                  <c:v>0.7052870889111027</c:v>
                </c:pt>
                <c:pt idx="9">
                  <c:v>0.73443313513935671</c:v>
                </c:pt>
                <c:pt idx="10">
                  <c:v>0.76366616321172565</c:v>
                </c:pt>
                <c:pt idx="11">
                  <c:v>0.79297800729316137</c:v>
                </c:pt>
                <c:pt idx="12">
                  <c:v>0.82236118801610747</c:v>
                </c:pt>
                <c:pt idx="13">
                  <c:v>0.85180883808052332</c:v>
                </c:pt>
                <c:pt idx="14">
                  <c:v>0.88131463722226044</c:v>
                </c:pt>
                <c:pt idx="15">
                  <c:v>0.91087275522188182</c:v>
                </c:pt>
                <c:pt idx="16">
                  <c:v>0.94047780183338059</c:v>
                </c:pt>
                <c:pt idx="17">
                  <c:v>0.97012478268459024</c:v>
                </c:pt>
                <c:pt idx="18">
                  <c:v>0.99980906034473715</c:v>
                </c:pt>
                <c:pt idx="19">
                  <c:v>1.0295263198744546</c:v>
                </c:pt>
                <c:pt idx="20">
                  <c:v>1.0592725382741239</c:v>
                </c:pt>
                <c:pt idx="21">
                  <c:v>1.0890439573308752</c:v>
                </c:pt>
                <c:pt idx="22">
                  <c:v>1.1188370594355623</c:v>
                </c:pt>
                <c:pt idx="23">
                  <c:v>1.1486485460012741</c:v>
                </c:pt>
                <c:pt idx="24">
                  <c:v>1.1784753181655745</c:v>
                </c:pt>
                <c:pt idx="25">
                  <c:v>1.2083144595020849</c:v>
                </c:pt>
                <c:pt idx="26">
                  <c:v>1.2381632205035542</c:v>
                </c:pt>
                <c:pt idx="27">
                  <c:v>1.2680190046300819</c:v>
                </c:pt>
                <c:pt idx="28">
                  <c:v>1.2978793557428583</c:v>
                </c:pt>
                <c:pt idx="29">
                  <c:v>1.3277419467668832</c:v>
                </c:pt>
                <c:pt idx="30">
                  <c:v>1.3576045694457992</c:v>
                </c:pt>
                <c:pt idx="31">
                  <c:v>1.3874651250690579</c:v>
                </c:pt>
                <c:pt idx="32">
                  <c:v>1.4173216160662756</c:v>
                </c:pt>
                <c:pt idx="33">
                  <c:v>1.447172138376378</c:v>
                </c:pt>
                <c:pt idx="34">
                  <c:v>1.4770148745101732</c:v>
                </c:pt>
                <c:pt idx="35">
                  <c:v>1.5068480872344692</c:v>
                </c:pt>
                <c:pt idx="36">
                  <c:v>1.5366701138142913</c:v>
                </c:pt>
                <c:pt idx="37">
                  <c:v>1.5664793607569649</c:v>
                </c:pt>
                <c:pt idx="38">
                  <c:v>1.5962742990081589</c:v>
                </c:pt>
                <c:pt idx="39">
                  <c:v>1.6260534595555933</c:v>
                </c:pt>
                <c:pt idx="40">
                  <c:v>1.6558154294009464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5-4F34-941C-4DDF8C98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05160063"/>
        <c:axId val="1940458463"/>
      </c:lineChart>
      <c:catAx>
        <c:axId val="2105160063"/>
        <c:scaling>
          <c:orientation val="minMax"/>
        </c:scaling>
        <c:delete val="0"/>
        <c:axPos val="b"/>
        <c:numFmt formatCode="0.0\ 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fi-FI"/>
          </a:p>
        </c:txPr>
        <c:crossAx val="1940458463"/>
        <c:crosses val="autoZero"/>
        <c:auto val="1"/>
        <c:lblAlgn val="ctr"/>
        <c:lblOffset val="100"/>
        <c:noMultiLvlLbl val="0"/>
      </c:catAx>
      <c:valAx>
        <c:axId val="1940458463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516006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fi-FI">
                <a:latin typeface="Bahnschrift Light" panose="020B0502040204020203" pitchFamily="34" charset="0"/>
              </a:rPr>
              <a:t>Option</a:t>
            </a:r>
            <a:r>
              <a:rPr lang="fi-FI" baseline="0">
                <a:latin typeface="Bahnschrift Light" panose="020B0502040204020203" pitchFamily="34" charset="0"/>
              </a:rPr>
              <a:t> hinta (c,p) suhteessa juoksuaikaan (t)</a:t>
            </a:r>
            <a:endParaRPr lang="fi-FI">
              <a:latin typeface="Bahnschrift Light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Sarjat!$E$1</c:f>
              <c:strCache>
                <c:ptCount val="1"/>
                <c:pt idx="0">
                  <c:v>Call</c:v>
                </c:pt>
              </c:strCache>
            </c:strRef>
          </c:tx>
          <c:spPr>
            <a:ln w="12700" cap="rnd" cmpd="sng" algn="ctr">
              <a:solidFill>
                <a:srgbClr val="0099FF"/>
              </a:solidFill>
              <a:round/>
            </a:ln>
            <a:effectLst/>
          </c:spPr>
          <c:marker>
            <c:symbol val="none"/>
          </c:marker>
          <c:cat>
            <c:numRef>
              <c:f>Sarjat!$O$2:$O$42</c:f>
              <c:numCache>
                <c:formatCode>General</c:formatCode>
                <c:ptCount val="41"/>
                <c:pt idx="0">
                  <c:v>4.0000000000000018</c:v>
                </c:pt>
                <c:pt idx="1">
                  <c:v>3.9000000000000017</c:v>
                </c:pt>
                <c:pt idx="2">
                  <c:v>3.8000000000000016</c:v>
                </c:pt>
                <c:pt idx="3">
                  <c:v>3.7000000000000015</c:v>
                </c:pt>
                <c:pt idx="4">
                  <c:v>3.6000000000000014</c:v>
                </c:pt>
                <c:pt idx="5">
                  <c:v>3.5000000000000013</c:v>
                </c:pt>
                <c:pt idx="6">
                  <c:v>3.4000000000000012</c:v>
                </c:pt>
                <c:pt idx="7">
                  <c:v>3.3000000000000012</c:v>
                </c:pt>
                <c:pt idx="8">
                  <c:v>3.2000000000000011</c:v>
                </c:pt>
                <c:pt idx="9">
                  <c:v>3.100000000000001</c:v>
                </c:pt>
                <c:pt idx="10">
                  <c:v>3.0000000000000009</c:v>
                </c:pt>
                <c:pt idx="11">
                  <c:v>2.9000000000000008</c:v>
                </c:pt>
                <c:pt idx="12">
                  <c:v>2.8000000000000007</c:v>
                </c:pt>
                <c:pt idx="13">
                  <c:v>2.7000000000000006</c:v>
                </c:pt>
                <c:pt idx="14">
                  <c:v>2.6000000000000005</c:v>
                </c:pt>
                <c:pt idx="15">
                  <c:v>2.5000000000000004</c:v>
                </c:pt>
                <c:pt idx="16">
                  <c:v>2.4000000000000004</c:v>
                </c:pt>
                <c:pt idx="17">
                  <c:v>2.3000000000000003</c:v>
                </c:pt>
                <c:pt idx="18">
                  <c:v>2.2000000000000002</c:v>
                </c:pt>
                <c:pt idx="19">
                  <c:v>2.1</c:v>
                </c:pt>
                <c:pt idx="20" formatCode="0.00">
                  <c:v>2</c:v>
                </c:pt>
                <c:pt idx="21">
                  <c:v>1.9</c:v>
                </c:pt>
                <c:pt idx="22">
                  <c:v>1.7999999999999998</c:v>
                </c:pt>
                <c:pt idx="23">
                  <c:v>1.6999999999999997</c:v>
                </c:pt>
                <c:pt idx="24">
                  <c:v>1.5999999999999996</c:v>
                </c:pt>
                <c:pt idx="25">
                  <c:v>1.4999999999999996</c:v>
                </c:pt>
                <c:pt idx="26">
                  <c:v>1.3999999999999995</c:v>
                </c:pt>
                <c:pt idx="27">
                  <c:v>1.2999999999999994</c:v>
                </c:pt>
                <c:pt idx="28">
                  <c:v>1.1999999999999993</c:v>
                </c:pt>
                <c:pt idx="29">
                  <c:v>1.0999999999999992</c:v>
                </c:pt>
                <c:pt idx="30">
                  <c:v>0.99999999999999922</c:v>
                </c:pt>
                <c:pt idx="31">
                  <c:v>0.89999999999999925</c:v>
                </c:pt>
                <c:pt idx="32">
                  <c:v>0.79999999999999927</c:v>
                </c:pt>
                <c:pt idx="33">
                  <c:v>0.69999999999999929</c:v>
                </c:pt>
                <c:pt idx="34">
                  <c:v>0.59999999999999931</c:v>
                </c:pt>
                <c:pt idx="35">
                  <c:v>0.49999999999999933</c:v>
                </c:pt>
                <c:pt idx="36">
                  <c:v>0.39999999999999936</c:v>
                </c:pt>
                <c:pt idx="37">
                  <c:v>0.29999999999999938</c:v>
                </c:pt>
                <c:pt idx="38">
                  <c:v>0.19999999999999937</c:v>
                </c:pt>
                <c:pt idx="39">
                  <c:v>9.9999999999999367E-2</c:v>
                </c:pt>
                <c:pt idx="40" formatCode="0.0">
                  <c:v>0.01</c:v>
                </c:pt>
              </c:numCache>
            </c:numRef>
          </c:cat>
          <c:val>
            <c:numRef>
              <c:f>Sarjat!$S$2:$S$42</c:f>
              <c:numCache>
                <c:formatCode>General</c:formatCode>
                <c:ptCount val="41"/>
                <c:pt idx="0">
                  <c:v>2.937325300000218</c:v>
                </c:pt>
                <c:pt idx="1">
                  <c:v>2.9071799439968942</c:v>
                </c:pt>
                <c:pt idx="2">
                  <c:v>2.8766431267099213</c:v>
                </c:pt>
                <c:pt idx="3">
                  <c:v>2.8457006616187961</c:v>
                </c:pt>
                <c:pt idx="4">
                  <c:v>2.8143374442967328</c:v>
                </c:pt>
                <c:pt idx="5">
                  <c:v>2.7825373662835551</c:v>
                </c:pt>
                <c:pt idx="6">
                  <c:v>2.7502832182608401</c:v>
                </c:pt>
                <c:pt idx="7">
                  <c:v>2.7175565808587869</c:v>
                </c:pt>
                <c:pt idx="8">
                  <c:v>2.6843377011071778</c:v>
                </c:pt>
                <c:pt idx="9">
                  <c:v>2.6506053521541393</c:v>
                </c:pt>
                <c:pt idx="10">
                  <c:v>2.6163366733975426</c:v>
                </c:pt>
                <c:pt idx="11">
                  <c:v>2.5815069875801218</c:v>
                </c:pt>
                <c:pt idx="12">
                  <c:v>2.5460895906587568</c:v>
                </c:pt>
                <c:pt idx="13">
                  <c:v>2.5100555093282013</c:v>
                </c:pt>
                <c:pt idx="14">
                  <c:v>2.4733732199031015</c:v>
                </c:pt>
                <c:pt idx="15">
                  <c:v>2.4360083207629577</c:v>
                </c:pt>
                <c:pt idx="16">
                  <c:v>2.3979231486390518</c:v>
                </c:pt>
                <c:pt idx="17">
                  <c:v>2.3590763265274237</c:v>
                </c:pt>
                <c:pt idx="18">
                  <c:v>2.3194222277503513</c:v>
                </c:pt>
                <c:pt idx="19">
                  <c:v>2.2789103363825145</c:v>
                </c:pt>
                <c:pt idx="20">
                  <c:v>2.237484478513327</c:v>
                </c:pt>
                <c:pt idx="21">
                  <c:v>2.1950818910663399</c:v>
                </c:pt>
                <c:pt idx="22">
                  <c:v>2.1516320843128964</c:v>
                </c:pt>
                <c:pt idx="23">
                  <c:v>2.1070554395751691</c:v>
                </c:pt>
                <c:pt idx="24">
                  <c:v>2.0612614630703723</c:v>
                </c:pt>
                <c:pt idx="25">
                  <c:v>2.0141465875844258</c:v>
                </c:pt>
                <c:pt idx="26">
                  <c:v>1.9655913712891433</c:v>
                </c:pt>
                <c:pt idx="27">
                  <c:v>1.9154568805666514</c:v>
                </c:pt>
                <c:pt idx="28">
                  <c:v>1.8635799499103056</c:v>
                </c:pt>
                <c:pt idx="29">
                  <c:v>1.8097668682554691</c:v>
                </c:pt>
                <c:pt idx="30">
                  <c:v>1.7537848162921419</c:v>
                </c:pt>
                <c:pt idx="31">
                  <c:v>1.6953500205225938</c:v>
                </c:pt>
                <c:pt idx="32">
                  <c:v>1.6341110074747105</c:v>
                </c:pt>
                <c:pt idx="33">
                  <c:v>1.5696243902792659</c:v>
                </c:pt>
                <c:pt idx="34">
                  <c:v>1.5013191052204595</c:v>
                </c:pt>
                <c:pt idx="35">
                  <c:v>1.4284429245420682</c:v>
                </c:pt>
                <c:pt idx="36">
                  <c:v>1.3499842680614753</c:v>
                </c:pt>
                <c:pt idx="37">
                  <c:v>1.2645783510669073</c:v>
                </c:pt>
                <c:pt idx="38">
                  <c:v>1.170566516037276</c:v>
                </c:pt>
                <c:pt idx="39">
                  <c:v>1.0681420853520285</c:v>
                </c:pt>
                <c:pt idx="40">
                  <c:v>1.0009156090367792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0-4021-AF7E-3E1CED4DA4F4}"/>
            </c:ext>
          </c:extLst>
        </c:ser>
        <c:ser>
          <c:idx val="1"/>
          <c:order val="1"/>
          <c:tx>
            <c:strRef>
              <c:f>Sarjat!$F$1</c:f>
              <c:strCache>
                <c:ptCount val="1"/>
                <c:pt idx="0">
                  <c:v>Put</c:v>
                </c:pt>
              </c:strCache>
            </c:strRef>
          </c:tx>
          <c:spPr>
            <a:ln w="12700" cap="rnd" cmpd="sng" algn="ctr">
              <a:solidFill>
                <a:srgbClr val="D60093"/>
              </a:solidFill>
              <a:round/>
            </a:ln>
            <a:effectLst/>
          </c:spPr>
          <c:marker>
            <c:symbol val="none"/>
          </c:marker>
          <c:cat>
            <c:numRef>
              <c:f>Sarjat!$O$2:$O$42</c:f>
              <c:numCache>
                <c:formatCode>General</c:formatCode>
                <c:ptCount val="41"/>
                <c:pt idx="0">
                  <c:v>4.0000000000000018</c:v>
                </c:pt>
                <c:pt idx="1">
                  <c:v>3.9000000000000017</c:v>
                </c:pt>
                <c:pt idx="2">
                  <c:v>3.8000000000000016</c:v>
                </c:pt>
                <c:pt idx="3">
                  <c:v>3.7000000000000015</c:v>
                </c:pt>
                <c:pt idx="4">
                  <c:v>3.6000000000000014</c:v>
                </c:pt>
                <c:pt idx="5">
                  <c:v>3.5000000000000013</c:v>
                </c:pt>
                <c:pt idx="6">
                  <c:v>3.4000000000000012</c:v>
                </c:pt>
                <c:pt idx="7">
                  <c:v>3.3000000000000012</c:v>
                </c:pt>
                <c:pt idx="8">
                  <c:v>3.2000000000000011</c:v>
                </c:pt>
                <c:pt idx="9">
                  <c:v>3.100000000000001</c:v>
                </c:pt>
                <c:pt idx="10">
                  <c:v>3.0000000000000009</c:v>
                </c:pt>
                <c:pt idx="11">
                  <c:v>2.9000000000000008</c:v>
                </c:pt>
                <c:pt idx="12">
                  <c:v>2.8000000000000007</c:v>
                </c:pt>
                <c:pt idx="13">
                  <c:v>2.7000000000000006</c:v>
                </c:pt>
                <c:pt idx="14">
                  <c:v>2.6000000000000005</c:v>
                </c:pt>
                <c:pt idx="15">
                  <c:v>2.5000000000000004</c:v>
                </c:pt>
                <c:pt idx="16">
                  <c:v>2.4000000000000004</c:v>
                </c:pt>
                <c:pt idx="17">
                  <c:v>2.3000000000000003</c:v>
                </c:pt>
                <c:pt idx="18">
                  <c:v>2.2000000000000002</c:v>
                </c:pt>
                <c:pt idx="19">
                  <c:v>2.1</c:v>
                </c:pt>
                <c:pt idx="20" formatCode="0.00">
                  <c:v>2</c:v>
                </c:pt>
                <c:pt idx="21">
                  <c:v>1.9</c:v>
                </c:pt>
                <c:pt idx="22">
                  <c:v>1.7999999999999998</c:v>
                </c:pt>
                <c:pt idx="23">
                  <c:v>1.6999999999999997</c:v>
                </c:pt>
                <c:pt idx="24">
                  <c:v>1.5999999999999996</c:v>
                </c:pt>
                <c:pt idx="25">
                  <c:v>1.4999999999999996</c:v>
                </c:pt>
                <c:pt idx="26">
                  <c:v>1.3999999999999995</c:v>
                </c:pt>
                <c:pt idx="27">
                  <c:v>1.2999999999999994</c:v>
                </c:pt>
                <c:pt idx="28">
                  <c:v>1.1999999999999993</c:v>
                </c:pt>
                <c:pt idx="29">
                  <c:v>1.0999999999999992</c:v>
                </c:pt>
                <c:pt idx="30">
                  <c:v>0.99999999999999922</c:v>
                </c:pt>
                <c:pt idx="31">
                  <c:v>0.89999999999999925</c:v>
                </c:pt>
                <c:pt idx="32">
                  <c:v>0.79999999999999927</c:v>
                </c:pt>
                <c:pt idx="33">
                  <c:v>0.69999999999999929</c:v>
                </c:pt>
                <c:pt idx="34">
                  <c:v>0.59999999999999931</c:v>
                </c:pt>
                <c:pt idx="35">
                  <c:v>0.49999999999999933</c:v>
                </c:pt>
                <c:pt idx="36">
                  <c:v>0.39999999999999936</c:v>
                </c:pt>
                <c:pt idx="37">
                  <c:v>0.29999999999999938</c:v>
                </c:pt>
                <c:pt idx="38">
                  <c:v>0.19999999999999937</c:v>
                </c:pt>
                <c:pt idx="39">
                  <c:v>9.9999999999999367E-2</c:v>
                </c:pt>
                <c:pt idx="40" formatCode="0.0">
                  <c:v>0.01</c:v>
                </c:pt>
              </c:numCache>
            </c:numRef>
          </c:cat>
          <c:val>
            <c:numRef>
              <c:f>Sarjat!$T$2:$T$42</c:f>
              <c:numCache>
                <c:formatCode>General</c:formatCode>
                <c:ptCount val="41"/>
                <c:pt idx="0">
                  <c:v>1.584430252371126</c:v>
                </c:pt>
                <c:pt idx="1">
                  <c:v>1.562936326314194</c:v>
                </c:pt>
                <c:pt idx="2">
                  <c:v>1.5410595947307177</c:v>
                </c:pt>
                <c:pt idx="3">
                  <c:v>1.5187858797602765</c:v>
                </c:pt>
                <c:pt idx="4">
                  <c:v>1.496100085644839</c:v>
                </c:pt>
                <c:pt idx="5">
                  <c:v>1.4729861126016539</c:v>
                </c:pt>
                <c:pt idx="6">
                  <c:v>1.4494267599983992</c:v>
                </c:pt>
                <c:pt idx="7">
                  <c:v>1.4254036171600752</c:v>
                </c:pt>
                <c:pt idx="8">
                  <c:v>1.4008969398199556</c:v>
                </c:pt>
                <c:pt idx="9">
                  <c:v>1.3758855098383727</c:v>
                </c:pt>
                <c:pt idx="10">
                  <c:v>1.3503464753341152</c:v>
                </c:pt>
                <c:pt idx="11">
                  <c:v>1.3242551677795653</c:v>
                </c:pt>
                <c:pt idx="12">
                  <c:v>1.2975848918699784</c:v>
                </c:pt>
                <c:pt idx="13">
                  <c:v>1.2703066830472318</c:v>
                </c:pt>
                <c:pt idx="14">
                  <c:v>1.2423890263818462</c:v>
                </c:pt>
                <c:pt idx="15">
                  <c:v>1.2137975290179517</c:v>
                </c:pt>
                <c:pt idx="16">
                  <c:v>1.1844945364602353</c:v>
                </c:pt>
                <c:pt idx="17">
                  <c:v>1.1544386804869173</c:v>
                </c:pt>
                <c:pt idx="18">
                  <c:v>1.1235843432112418</c:v>
                </c:pt>
                <c:pt idx="19">
                  <c:v>1.0918810175076512</c:v>
                </c:pt>
                <c:pt idx="20">
                  <c:v>1.0592725382741239</c:v>
                </c:pt>
                <c:pt idx="21">
                  <c:v>1.0256961512515934</c:v>
                </c:pt>
                <c:pt idx="22">
                  <c:v>0.99108137553760312</c:v>
                </c:pt>
                <c:pt idx="23">
                  <c:v>0.95534860128935595</c:v>
                </c:pt>
                <c:pt idx="24">
                  <c:v>0.91840734356793785</c:v>
                </c:pt>
                <c:pt idx="25">
                  <c:v>0.88015404401198971</c:v>
                </c:pt>
                <c:pt idx="26">
                  <c:v>0.84046926965489988</c:v>
                </c:pt>
                <c:pt idx="27">
                  <c:v>0.79921409574923885</c:v>
                </c:pt>
                <c:pt idx="28">
                  <c:v>0.75622536566768161</c:v>
                </c:pt>
                <c:pt idx="29">
                  <c:v>0.71130937723378729</c:v>
                </c:pt>
                <c:pt idx="30">
                  <c:v>0.66423332003465596</c:v>
                </c:pt>
                <c:pt idx="31">
                  <c:v>0.61471342947854524</c:v>
                </c:pt>
                <c:pt idx="32">
                  <c:v>0.56239824100825686</c:v>
                </c:pt>
                <c:pt idx="33">
                  <c:v>0.50684437667838189</c:v>
                </c:pt>
                <c:pt idx="34">
                  <c:v>0.44748078170587746</c:v>
                </c:pt>
                <c:pt idx="35">
                  <c:v>0.38355523727620877</c:v>
                </c:pt>
                <c:pt idx="36">
                  <c:v>0.31405617215740023</c:v>
                </c:pt>
                <c:pt idx="37">
                  <c:v>0.23761881059726342</c:v>
                </c:pt>
                <c:pt idx="38">
                  <c:v>0.15258450404327384</c:v>
                </c:pt>
                <c:pt idx="39">
                  <c:v>5.9146583852404788E-2</c:v>
                </c:pt>
                <c:pt idx="40">
                  <c:v>1.5654035278700462E-5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0-4021-AF7E-3E1CED4DA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05160063"/>
        <c:axId val="1940458463"/>
      </c:lineChart>
      <c:catAx>
        <c:axId val="2105160063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fi-FI"/>
          </a:p>
        </c:txPr>
        <c:crossAx val="1940458463"/>
        <c:crosses val="autoZero"/>
        <c:auto val="1"/>
        <c:lblAlgn val="ctr"/>
        <c:lblOffset val="100"/>
        <c:noMultiLvlLbl val="0"/>
      </c:catAx>
      <c:valAx>
        <c:axId val="1940458463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516006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95250</xdr:rowOff>
    </xdr:from>
    <xdr:to>
      <xdr:col>2</xdr:col>
      <xdr:colOff>0</xdr:colOff>
      <xdr:row>37</xdr:row>
      <xdr:rowOff>76200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7000"/>
                  </a14:imgEffect>
                  <a14:imgEffect>
                    <a14:brightnessContrast bright="3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"/>
          <a:ext cx="27908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28575</xdr:rowOff>
    </xdr:from>
    <xdr:to>
      <xdr:col>5</xdr:col>
      <xdr:colOff>1028700</xdr:colOff>
      <xdr:row>59</xdr:row>
      <xdr:rowOff>47625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F33E164E-F32D-4F13-9036-61F3FFD52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66675</xdr:rowOff>
    </xdr:from>
    <xdr:to>
      <xdr:col>5</xdr:col>
      <xdr:colOff>1028700</xdr:colOff>
      <xdr:row>80</xdr:row>
      <xdr:rowOff>85725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5D524BF1-50BC-4C96-8FCD-E57686719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114300</xdr:rowOff>
    </xdr:from>
    <xdr:to>
      <xdr:col>5</xdr:col>
      <xdr:colOff>1028700</xdr:colOff>
      <xdr:row>101</xdr:row>
      <xdr:rowOff>133350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E0677215-2DA7-4834-85C9-91687D53A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257175</xdr:colOff>
      <xdr:row>99</xdr:row>
      <xdr:rowOff>95250</xdr:rowOff>
    </xdr:from>
    <xdr:ext cx="740011" cy="215508"/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3F2A5D3F-E211-4DAB-94F4-12853978A089}"/>
            </a:ext>
          </a:extLst>
        </xdr:cNvPr>
        <xdr:cNvSpPr txBox="1"/>
      </xdr:nvSpPr>
      <xdr:spPr>
        <a:xfrm>
          <a:off x="5076825" y="16173450"/>
          <a:ext cx="740011" cy="215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80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</a:rPr>
            <a:t>juoksuaika 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0.8054</cdr:x>
      <cdr:y>0.90065</cdr:y>
    </cdr:from>
    <cdr:to>
      <cdr:x>1</cdr:x>
      <cdr:y>0.96367</cdr:y>
    </cdr:to>
    <cdr:sp macro="" textlink="">
      <cdr:nvSpPr>
        <cdr:cNvPr id="2" name="Tekstiruutu 7">
          <a:extLst xmlns:a="http://schemas.openxmlformats.org/drawingml/2006/main">
            <a:ext uri="{FF2B5EF4-FFF2-40B4-BE49-F238E27FC236}">
              <a16:creationId xmlns:a16="http://schemas.microsoft.com/office/drawing/2014/main" id="{46179335-F74D-4FFB-BB44-9AFD49FDBAF5}"/>
            </a:ext>
          </a:extLst>
        </cdr:cNvPr>
        <cdr:cNvSpPr txBox="1"/>
      </cdr:nvSpPr>
      <cdr:spPr>
        <a:xfrm xmlns:a="http://schemas.openxmlformats.org/drawingml/2006/main">
          <a:off x="4764912" y="3079750"/>
          <a:ext cx="1138068" cy="2155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</a:rPr>
            <a:t>kohde-etuuden</a:t>
          </a:r>
          <a:r>
            <a:rPr lang="fi-FI" sz="8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</a:rPr>
            <a:t> hinta</a:t>
          </a:r>
          <a:endParaRPr lang="fi-FI" sz="800">
            <a:solidFill>
              <a:schemeClr val="tx1">
                <a:lumMod val="50000"/>
                <a:lumOff val="50000"/>
              </a:schemeClr>
            </a:solidFill>
            <a:latin typeface="Bahnschrift Light" panose="020B0502040204020203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0.87347</cdr:x>
      <cdr:y>0.88951</cdr:y>
    </cdr:from>
    <cdr:to>
      <cdr:x>0.9978</cdr:x>
      <cdr:y>0.95253</cdr:y>
    </cdr:to>
    <cdr:sp macro="" textlink="">
      <cdr:nvSpPr>
        <cdr:cNvPr id="2" name="Tekstiruutu 7">
          <a:extLst xmlns:a="http://schemas.openxmlformats.org/drawingml/2006/main">
            <a:ext uri="{FF2B5EF4-FFF2-40B4-BE49-F238E27FC236}">
              <a16:creationId xmlns:a16="http://schemas.microsoft.com/office/drawing/2014/main" id="{3F2A5D3F-E211-4DAB-94F4-12853978A089}"/>
            </a:ext>
          </a:extLst>
        </cdr:cNvPr>
        <cdr:cNvSpPr txBox="1"/>
      </cdr:nvSpPr>
      <cdr:spPr>
        <a:xfrm xmlns:a="http://schemas.openxmlformats.org/drawingml/2006/main">
          <a:off x="5108339" y="3041650"/>
          <a:ext cx="727122" cy="2155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</a:rPr>
            <a:t>volatiliteetti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152400</xdr:rowOff>
    </xdr:from>
    <xdr:to>
      <xdr:col>1</xdr:col>
      <xdr:colOff>819149</xdr:colOff>
      <xdr:row>27</xdr:row>
      <xdr:rowOff>110515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49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362325"/>
          <a:ext cx="2743199" cy="125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tabColor theme="4"/>
    <pageSetUpPr fitToPage="1"/>
  </sheetPr>
  <dimension ref="A1:G39"/>
  <sheetViews>
    <sheetView tabSelected="1" workbookViewId="0">
      <selection activeCell="F9" sqref="F9"/>
    </sheetView>
  </sheetViews>
  <sheetFormatPr defaultRowHeight="12.75" x14ac:dyDescent="0.2"/>
  <cols>
    <col min="1" max="1" width="27" style="19" customWidth="1"/>
    <col min="2" max="2" width="14.85546875" style="19" customWidth="1"/>
    <col min="3" max="3" width="6.28515625" style="19" customWidth="1"/>
    <col min="4" max="4" width="9.140625" style="19"/>
    <col min="5" max="5" width="15" style="19" customWidth="1"/>
    <col min="6" max="6" width="15.5703125" style="19" bestFit="1" customWidth="1"/>
    <col min="7" max="8" width="9.140625" style="3"/>
    <col min="9" max="9" width="10.42578125" style="3" bestFit="1" customWidth="1"/>
    <col min="10" max="16384" width="9.140625" style="3"/>
  </cols>
  <sheetData>
    <row r="1" spans="1:7" ht="16.5" customHeight="1" x14ac:dyDescent="0.2">
      <c r="A1" s="41" t="s">
        <v>38</v>
      </c>
      <c r="B1" s="42"/>
      <c r="C1" s="42"/>
      <c r="D1" s="42"/>
      <c r="E1" s="43"/>
      <c r="F1" s="44" t="str">
        <f ca="1">"© " &amp; YEAR(TODAY()) &amp; " Pankkiasiat.fi"</f>
        <v>© 2021 Pankkiasiat.fi</v>
      </c>
    </row>
    <row r="2" spans="1:7" x14ac:dyDescent="0.2">
      <c r="A2" s="4" t="s">
        <v>7</v>
      </c>
      <c r="B2" s="4"/>
      <c r="C2" s="4"/>
      <c r="D2" s="4"/>
      <c r="E2" s="4"/>
      <c r="F2" s="4"/>
    </row>
    <row r="3" spans="1:7" x14ac:dyDescent="0.2">
      <c r="A3" s="4"/>
      <c r="B3" s="4"/>
      <c r="C3" s="4"/>
      <c r="D3" s="4"/>
      <c r="E3" s="4"/>
      <c r="F3" s="4"/>
    </row>
    <row r="4" spans="1:7" x14ac:dyDescent="0.2">
      <c r="A4" s="31" t="s">
        <v>1</v>
      </c>
      <c r="B4" s="32"/>
      <c r="C4" s="32"/>
      <c r="D4" s="33"/>
      <c r="E4" s="33"/>
      <c r="F4" s="33"/>
    </row>
    <row r="5" spans="1:7" x14ac:dyDescent="0.2">
      <c r="A5" s="4" t="s">
        <v>15</v>
      </c>
      <c r="B5" s="45">
        <v>10</v>
      </c>
      <c r="C5" s="4"/>
      <c r="D5" s="4"/>
      <c r="E5" s="6"/>
      <c r="F5" s="6"/>
    </row>
    <row r="6" spans="1:7" x14ac:dyDescent="0.2">
      <c r="A6" s="4" t="s">
        <v>18</v>
      </c>
      <c r="B6" s="46">
        <v>9</v>
      </c>
      <c r="C6" s="4"/>
      <c r="D6" s="4"/>
      <c r="E6" s="6"/>
      <c r="F6" s="6"/>
    </row>
    <row r="7" spans="1:7" x14ac:dyDescent="0.2">
      <c r="A7" s="4" t="s">
        <v>16</v>
      </c>
      <c r="B7" s="47">
        <v>0.3</v>
      </c>
      <c r="C7" s="4"/>
      <c r="D7" s="6"/>
      <c r="E7" s="6"/>
      <c r="F7" s="6"/>
    </row>
    <row r="8" spans="1:7" x14ac:dyDescent="0.2">
      <c r="A8" s="4" t="s">
        <v>17</v>
      </c>
      <c r="B8" s="47">
        <v>0.01</v>
      </c>
      <c r="C8" s="4"/>
      <c r="D8" s="7" t="s">
        <v>0</v>
      </c>
      <c r="E8" s="7"/>
      <c r="F8" s="8"/>
    </row>
    <row r="9" spans="1:7" x14ac:dyDescent="0.2">
      <c r="A9" s="4" t="s">
        <v>21</v>
      </c>
      <c r="B9" s="46">
        <v>2</v>
      </c>
      <c r="C9" s="4"/>
      <c r="D9" s="4"/>
      <c r="E9" s="4" t="s">
        <v>36</v>
      </c>
      <c r="F9" s="49"/>
      <c r="G9" s="9"/>
    </row>
    <row r="10" spans="1:7" x14ac:dyDescent="0.2">
      <c r="A10" s="4" t="s">
        <v>26</v>
      </c>
      <c r="B10" s="47">
        <v>0</v>
      </c>
      <c r="C10" s="4"/>
      <c r="D10" s="4"/>
      <c r="E10" s="6"/>
      <c r="F10" s="6"/>
      <c r="G10" s="10"/>
    </row>
    <row r="11" spans="1:7" x14ac:dyDescent="0.2">
      <c r="A11" s="4" t="s">
        <v>19</v>
      </c>
      <c r="B11" s="48">
        <v>10000</v>
      </c>
      <c r="C11" s="4"/>
      <c r="D11" s="4"/>
      <c r="E11" s="6"/>
      <c r="F11" s="6"/>
    </row>
    <row r="12" spans="1:7" x14ac:dyDescent="0.2">
      <c r="A12" s="4" t="s">
        <v>20</v>
      </c>
      <c r="B12" s="48">
        <v>100000</v>
      </c>
      <c r="C12" s="4"/>
      <c r="D12" s="4"/>
      <c r="E12" s="6"/>
      <c r="F12" s="6"/>
    </row>
    <row r="13" spans="1:7" x14ac:dyDescent="0.2">
      <c r="A13" s="4"/>
      <c r="B13" s="4"/>
      <c r="C13" s="4"/>
      <c r="D13" s="4"/>
      <c r="E13" s="4"/>
      <c r="F13" s="4"/>
    </row>
    <row r="14" spans="1:7" x14ac:dyDescent="0.2">
      <c r="A14" s="31" t="s">
        <v>2</v>
      </c>
      <c r="B14" s="32"/>
      <c r="C14" s="32"/>
      <c r="D14" s="32"/>
      <c r="E14" s="32"/>
      <c r="F14" s="32"/>
    </row>
    <row r="15" spans="1:7" x14ac:dyDescent="0.2">
      <c r="A15" s="11"/>
      <c r="B15" s="4"/>
      <c r="C15" s="4"/>
      <c r="D15" s="4"/>
      <c r="E15" s="4"/>
      <c r="F15" s="4"/>
    </row>
    <row r="16" spans="1:7" x14ac:dyDescent="0.2">
      <c r="A16" s="4" t="s">
        <v>5</v>
      </c>
      <c r="B16" s="25">
        <f>(LN((B5*EXP(-B10*B9))/B6)+((B8+((B7)^2)/2)*B9)) / ((B7)*SQRT(B9))</f>
        <v>0.50760960340493555</v>
      </c>
      <c r="C16" s="4"/>
      <c r="D16" s="7" t="s">
        <v>44</v>
      </c>
      <c r="E16" s="7" t="s">
        <v>31</v>
      </c>
      <c r="F16" s="7" t="s">
        <v>32</v>
      </c>
    </row>
    <row r="17" spans="1:6" x14ac:dyDescent="0.2">
      <c r="A17" s="4" t="s">
        <v>6</v>
      </c>
      <c r="B17" s="25">
        <f>B16-B7*SQRT(B9)</f>
        <v>8.334553469300704E-2</v>
      </c>
      <c r="C17" s="4"/>
      <c r="D17" s="4" t="s">
        <v>22</v>
      </c>
      <c r="E17" s="13">
        <f>NORMSDIST(B16)*EXP(-B10*B9)</f>
        <v>0.69413642277988008</v>
      </c>
      <c r="F17" s="14">
        <f>(NORMSDIST(B16)-1)*EXP(-B10*B9)</f>
        <v>-0.30586357722011992</v>
      </c>
    </row>
    <row r="18" spans="1:6" x14ac:dyDescent="0.2">
      <c r="A18" s="4"/>
      <c r="B18" s="4"/>
      <c r="C18" s="4"/>
      <c r="D18" s="4" t="s">
        <v>23</v>
      </c>
      <c r="E18" s="13">
        <f>1/(2*PI())^0.5*(EXP(-(B16^2)/2))*EXP(-B10*B9)/(B5*B7*(B9^(1/2)))</f>
        <v>8.2665067462240921E-2</v>
      </c>
      <c r="F18" s="14">
        <f>E18</f>
        <v>8.2665067462240921E-2</v>
      </c>
    </row>
    <row r="19" spans="1:6" x14ac:dyDescent="0.2">
      <c r="A19" s="11" t="s">
        <v>8</v>
      </c>
      <c r="B19" s="27">
        <f>(B5*EXP(-B10*B9))*NORMSDIST(B16)-B6*EXP(-B8*B9)*NORMSDIST(B17)</f>
        <v>2.237484478513327</v>
      </c>
      <c r="C19" s="4"/>
      <c r="D19" s="4" t="s">
        <v>24</v>
      </c>
      <c r="E19" s="13">
        <f>(B5*EXP(-(B16^2)/2)/SQRT(2*PI())*SQRT(B9))/100</f>
        <v>4.9599040477344564E-2</v>
      </c>
      <c r="F19" s="14">
        <f>E19</f>
        <v>4.9599040477344564E-2</v>
      </c>
    </row>
    <row r="20" spans="1:6" x14ac:dyDescent="0.2">
      <c r="A20" s="11" t="s">
        <v>9</v>
      </c>
      <c r="B20" s="27">
        <f>B19-(B5*EXP(-B10*B9))+B6*EXP(-B8*B9)</f>
        <v>1.0592725382741239</v>
      </c>
      <c r="C20" s="4"/>
      <c r="D20" s="4" t="s">
        <v>25</v>
      </c>
      <c r="E20" s="15">
        <f>-((B5*(1/(2*PI())^0.5*(EXP(-(B16^2)/2)))*B7*EXP(-B10*B9))/(2*(B9^(1/2)))+(B10*B5*NORMSDIST(B16)*EXP(-B10*B9))-(B8*B6*EXP(-B8*B9)*NORMSDIST(B17)))/365</f>
        <v>-8.9028494818418999E-4</v>
      </c>
      <c r="F20" s="16">
        <f>-((B5*(1/(2*PI())^0.5*(EXP(-(B16^2)/2)))*B7*EXP(-B10*B9))/(2*(B9^(1/2)))-(B10*B5*NORMSDIST(-B16)*EXP(-B10*B9))+(B8*B6*EXP(-B8*B9)*NORMSDIST(-B17)))/365</f>
        <v>-1.1319777717392803E-3</v>
      </c>
    </row>
    <row r="21" spans="1:6" x14ac:dyDescent="0.2">
      <c r="A21" s="17"/>
      <c r="B21" s="17"/>
      <c r="C21" s="17"/>
      <c r="D21" s="17"/>
      <c r="E21" s="17"/>
      <c r="F21" s="3"/>
    </row>
    <row r="22" spans="1:6" x14ac:dyDescent="0.2">
      <c r="A22" s="31" t="s">
        <v>3</v>
      </c>
      <c r="B22" s="32"/>
      <c r="C22" s="32"/>
      <c r="D22" s="32"/>
      <c r="E22" s="33"/>
      <c r="F22" s="33"/>
    </row>
    <row r="23" spans="1:6" x14ac:dyDescent="0.2">
      <c r="A23" s="4" t="s">
        <v>28</v>
      </c>
      <c r="B23" s="5">
        <f>dosk2</f>
        <v>9.2517545455226564</v>
      </c>
      <c r="C23" s="4"/>
      <c r="D23" s="18"/>
      <c r="E23" s="18"/>
      <c r="F23" s="18"/>
    </row>
    <row r="24" spans="1:6" x14ac:dyDescent="0.2">
      <c r="A24" s="4" t="s">
        <v>29</v>
      </c>
      <c r="B24" s="12">
        <f>(LN((dosk1*EXP(-B10*B9))/B6)+((B8+((B7)^2)/2)*B9)) / ((B7)*SQRT(B9))</f>
        <v>0.33511802340510882</v>
      </c>
      <c r="C24" s="4"/>
      <c r="D24" s="18"/>
      <c r="E24" s="18"/>
      <c r="F24" s="18"/>
    </row>
    <row r="25" spans="1:6" x14ac:dyDescent="0.2">
      <c r="A25" s="4" t="s">
        <v>30</v>
      </c>
      <c r="B25" s="12">
        <f>B24-B7*SQRT(B9)</f>
        <v>-8.9146045306819688E-2</v>
      </c>
      <c r="C25" s="4"/>
      <c r="D25" s="18"/>
      <c r="E25" s="18"/>
    </row>
    <row r="26" spans="1:6" x14ac:dyDescent="0.2">
      <c r="A26" s="4"/>
      <c r="B26" s="4"/>
      <c r="C26" s="4"/>
      <c r="D26" s="18"/>
      <c r="E26" s="18"/>
      <c r="F26" s="18"/>
    </row>
    <row r="27" spans="1:6" x14ac:dyDescent="0.2">
      <c r="A27" s="11" t="s">
        <v>33</v>
      </c>
      <c r="B27" s="27">
        <f>(dosk2*EXP(-B10*B9))*NORMSDIST(B24)-B6*EXP(-B8*B9)*NORMSDIST(B25)</f>
        <v>1.7424333634024158</v>
      </c>
      <c r="C27" s="4"/>
      <c r="D27" s="18"/>
      <c r="E27" s="18"/>
      <c r="F27" s="18"/>
    </row>
    <row r="28" spans="1:6" x14ac:dyDescent="0.2">
      <c r="A28" s="11" t="s">
        <v>34</v>
      </c>
      <c r="B28" s="27">
        <f>B27-(B23*EXP(-B10*B9))+B6*EXP(-B8*B9)</f>
        <v>1.3124668776405564</v>
      </c>
      <c r="C28" s="4"/>
      <c r="D28" s="18"/>
      <c r="E28" s="18"/>
      <c r="F28" s="18"/>
    </row>
    <row r="29" spans="1:6" x14ac:dyDescent="0.2">
      <c r="A29" s="7"/>
      <c r="B29" s="7"/>
      <c r="C29" s="7"/>
      <c r="D29" s="7"/>
      <c r="E29" s="7"/>
      <c r="F29" s="7"/>
    </row>
    <row r="30" spans="1:6" x14ac:dyDescent="0.2">
      <c r="A30" s="18"/>
      <c r="B30" s="18"/>
      <c r="C30" s="18"/>
      <c r="D30" s="18"/>
      <c r="E30" s="18"/>
      <c r="F30" s="18"/>
    </row>
    <row r="31" spans="1:6" x14ac:dyDescent="0.2">
      <c r="A31" s="18"/>
      <c r="B31" s="18"/>
      <c r="C31" s="18"/>
      <c r="D31" s="18"/>
      <c r="E31" s="18"/>
      <c r="F31" s="18"/>
    </row>
    <row r="32" spans="1:6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18"/>
      <c r="F36" s="18"/>
    </row>
    <row r="37" spans="1:6" x14ac:dyDescent="0.2">
      <c r="A37" s="18"/>
      <c r="B37" s="18"/>
      <c r="C37" s="18"/>
      <c r="D37" s="18"/>
      <c r="E37" s="18"/>
      <c r="F37" s="18"/>
    </row>
    <row r="38" spans="1:6" x14ac:dyDescent="0.2">
      <c r="A38" s="18"/>
      <c r="B38" s="18"/>
      <c r="C38" s="18"/>
      <c r="D38" s="18"/>
      <c r="E38" s="18" t="s">
        <v>45</v>
      </c>
      <c r="F38" s="18"/>
    </row>
    <row r="39" spans="1:6" x14ac:dyDescent="0.2">
      <c r="A39" s="26" t="s">
        <v>37</v>
      </c>
    </row>
  </sheetData>
  <sheetProtection algorithmName="SHA-512" hashValue="wwMlk7w7Lv3N9nev3NdxOcOaqY70WrdVYgwO8Go7UhT4bjovGQhx7WK+zCDAnEBcsBjsCtH3wLqeuZj8m91lRA==" saltValue="Vvg5V5Dpzz9NxvEaLLLmUw==" spinCount="100000" sheet="1" objects="1" scenarios="1" formatCells="0" formatColumns="0" formatRows="0" insertColumns="0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&amp;Lhttps://pankkiasiat.fi&amp;COptiohintalaskuri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>
    <tabColor theme="7" tint="0.39997558519241921"/>
  </sheetPr>
  <dimension ref="A1:F29"/>
  <sheetViews>
    <sheetView workbookViewId="0">
      <selection activeCell="E1" sqref="E1"/>
    </sheetView>
  </sheetViews>
  <sheetFormatPr defaultRowHeight="12.75" x14ac:dyDescent="0.2"/>
  <cols>
    <col min="1" max="1" width="28.85546875" style="3" customWidth="1"/>
    <col min="2" max="2" width="14.42578125" style="3" customWidth="1"/>
    <col min="3" max="3" width="9.140625" style="3"/>
    <col min="4" max="4" width="10.28515625" style="3" customWidth="1"/>
    <col min="5" max="5" width="12.7109375" style="3" customWidth="1"/>
    <col min="6" max="16384" width="9.140625" style="3"/>
  </cols>
  <sheetData>
    <row r="1" spans="1:6" ht="14.25" customHeight="1" x14ac:dyDescent="0.2">
      <c r="A1" s="1" t="s">
        <v>4</v>
      </c>
      <c r="B1" s="2"/>
      <c r="C1" s="2"/>
      <c r="D1" s="2"/>
      <c r="E1" s="20" t="s">
        <v>27</v>
      </c>
      <c r="F1" s="19"/>
    </row>
    <row r="2" spans="1:6" x14ac:dyDescent="0.2">
      <c r="A2" s="4" t="s">
        <v>35</v>
      </c>
      <c r="B2" s="4"/>
      <c r="C2" s="4"/>
      <c r="D2" s="4"/>
      <c r="E2" s="4"/>
      <c r="F2" s="21"/>
    </row>
    <row r="3" spans="1:6" x14ac:dyDescent="0.2">
      <c r="A3" s="6"/>
      <c r="B3" s="6"/>
      <c r="C3" s="6"/>
      <c r="D3" s="6"/>
      <c r="E3" s="6"/>
      <c r="F3" s="22"/>
    </row>
    <row r="4" spans="1:6" x14ac:dyDescent="0.2">
      <c r="A4" s="31" t="s">
        <v>1</v>
      </c>
      <c r="B4" s="32"/>
      <c r="C4" s="32"/>
      <c r="D4" s="33"/>
      <c r="E4" s="33"/>
      <c r="F4" s="22"/>
    </row>
    <row r="5" spans="1:6" ht="15.75" x14ac:dyDescent="0.3">
      <c r="A5" s="4" t="s">
        <v>11</v>
      </c>
      <c r="B5" s="30">
        <v>2</v>
      </c>
      <c r="C5" s="4"/>
      <c r="D5" s="4"/>
      <c r="E5" s="6"/>
      <c r="F5" s="22"/>
    </row>
    <row r="6" spans="1:6" x14ac:dyDescent="0.2">
      <c r="A6" s="4" t="s">
        <v>10</v>
      </c>
      <c r="B6" s="28">
        <v>1.9</v>
      </c>
      <c r="C6" s="4"/>
      <c r="D6" s="4"/>
      <c r="E6" s="17"/>
    </row>
    <row r="7" spans="1:6" x14ac:dyDescent="0.2">
      <c r="A7" s="4" t="s">
        <v>16</v>
      </c>
      <c r="B7" s="29">
        <v>0.4</v>
      </c>
      <c r="C7" s="4"/>
      <c r="D7" s="4"/>
      <c r="E7" s="17"/>
    </row>
    <row r="8" spans="1:6" x14ac:dyDescent="0.2">
      <c r="A8" s="4" t="s">
        <v>14</v>
      </c>
      <c r="B8" s="28">
        <v>1</v>
      </c>
      <c r="C8" s="4"/>
      <c r="D8" s="4"/>
      <c r="E8" s="17"/>
    </row>
    <row r="9" spans="1:6" ht="15.75" x14ac:dyDescent="0.3">
      <c r="A9" s="4" t="s">
        <v>12</v>
      </c>
      <c r="B9" s="29">
        <v>0.01</v>
      </c>
      <c r="C9" s="4"/>
      <c r="D9" s="4"/>
      <c r="E9" s="17"/>
    </row>
    <row r="10" spans="1:6" ht="15.75" x14ac:dyDescent="0.3">
      <c r="A10" s="4" t="s">
        <v>13</v>
      </c>
      <c r="B10" s="29">
        <v>0.02</v>
      </c>
      <c r="C10" s="4"/>
      <c r="D10" s="4"/>
      <c r="E10" s="17"/>
    </row>
    <row r="11" spans="1:6" x14ac:dyDescent="0.2">
      <c r="A11" s="4"/>
      <c r="B11" s="4"/>
      <c r="C11" s="4"/>
      <c r="D11" s="4"/>
      <c r="E11" s="17"/>
    </row>
    <row r="12" spans="1:6" x14ac:dyDescent="0.2">
      <c r="A12" s="31" t="s">
        <v>2</v>
      </c>
      <c r="B12" s="32"/>
      <c r="C12" s="32"/>
      <c r="D12" s="32"/>
      <c r="E12" s="33"/>
    </row>
    <row r="13" spans="1:6" x14ac:dyDescent="0.2">
      <c r="A13" s="11"/>
      <c r="B13" s="4"/>
      <c r="C13" s="4"/>
      <c r="D13" s="4"/>
      <c r="E13" s="17"/>
    </row>
    <row r="14" spans="1:6" x14ac:dyDescent="0.2">
      <c r="A14" s="4" t="s">
        <v>5</v>
      </c>
      <c r="B14" s="25">
        <f>(LN(B5/B6)+((B9-B10)+(B7^2)/2)*B8)/(B7*SQRT(B8))</f>
        <v>0.30323323596887625</v>
      </c>
      <c r="C14" s="4"/>
      <c r="D14" s="4"/>
      <c r="E14" s="17"/>
    </row>
    <row r="15" spans="1:6" x14ac:dyDescent="0.2">
      <c r="A15" s="4" t="s">
        <v>6</v>
      </c>
      <c r="B15" s="25">
        <f>B14-(B7*SQRT(B8))</f>
        <v>-9.6766764031123775E-2</v>
      </c>
      <c r="C15" s="4"/>
      <c r="D15" s="4"/>
      <c r="E15" s="17"/>
    </row>
    <row r="16" spans="1:6" x14ac:dyDescent="0.2">
      <c r="A16" s="4"/>
      <c r="B16" s="12"/>
      <c r="C16" s="4"/>
      <c r="D16" s="4"/>
      <c r="E16" s="17"/>
    </row>
    <row r="17" spans="1:5" x14ac:dyDescent="0.2">
      <c r="A17" s="11" t="s">
        <v>8</v>
      </c>
      <c r="B17" s="27">
        <f>B5*EXP(-B10*B8)*NORMSDIST(B14)-B6*EXP(-B9*B8)*NORMSDIST(B15)</f>
        <v>0.34572606544569418</v>
      </c>
      <c r="C17" s="4"/>
      <c r="D17" s="4"/>
      <c r="E17" s="17"/>
    </row>
    <row r="18" spans="1:5" x14ac:dyDescent="0.2">
      <c r="A18" s="11" t="s">
        <v>9</v>
      </c>
      <c r="B18" s="27">
        <f>B6*EXP(-B9*B8)*NORMSDIST(-B15)+B5*EXP(-B10*B8)*NORMSDIST(-B14)</f>
        <v>1.7596818258282605</v>
      </c>
      <c r="C18" s="4"/>
      <c r="D18" s="4"/>
      <c r="E18" s="17"/>
    </row>
    <row r="19" spans="1:5" x14ac:dyDescent="0.2">
      <c r="A19" s="8"/>
      <c r="B19" s="8"/>
      <c r="C19" s="8"/>
      <c r="D19" s="8"/>
      <c r="E19" s="8"/>
    </row>
    <row r="20" spans="1:5" x14ac:dyDescent="0.2">
      <c r="A20" s="17"/>
      <c r="B20" s="23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8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24" t="s">
        <v>37</v>
      </c>
      <c r="C29" s="17"/>
      <c r="D29" s="17"/>
      <c r="E29" s="17"/>
    </row>
  </sheetData>
  <sheetProtection algorithmName="SHA-512" hashValue="C8HqKKAGajYUIOT7OLnseShwkDtHfnVT15Xj2URiyHjl6AVVB/Z18wpZxEbLAoeccw7tpadhPVwEWJji3JKejQ==" saltValue="UqB8fNTbvufXagGyi7I/eQ==" spinCount="100000" sheet="1" objects="1" scenarios="1" formatCells="0" formatColumns="0" formatRows="0" insertColumns="0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316B-445C-46D9-A077-E9453D22EA37}">
  <dimension ref="A1:T42"/>
  <sheetViews>
    <sheetView workbookViewId="0"/>
  </sheetViews>
  <sheetFormatPr defaultRowHeight="12.75" x14ac:dyDescent="0.2"/>
  <sheetData>
    <row r="1" spans="1:20" x14ac:dyDescent="0.2">
      <c r="A1" s="34" t="s">
        <v>39</v>
      </c>
      <c r="B1" s="3"/>
      <c r="C1" s="19" t="s">
        <v>5</v>
      </c>
      <c r="D1" s="19" t="s">
        <v>6</v>
      </c>
      <c r="E1" s="19" t="s">
        <v>40</v>
      </c>
      <c r="F1" s="19" t="s">
        <v>41</v>
      </c>
      <c r="G1" s="3"/>
      <c r="H1" s="34" t="s">
        <v>42</v>
      </c>
      <c r="I1" s="3"/>
      <c r="J1" s="19" t="s">
        <v>5</v>
      </c>
      <c r="K1" s="19" t="s">
        <v>6</v>
      </c>
      <c r="L1" s="19" t="s">
        <v>40</v>
      </c>
      <c r="M1" s="19" t="s">
        <v>41</v>
      </c>
      <c r="N1" s="3"/>
      <c r="O1" s="34" t="s">
        <v>43</v>
      </c>
      <c r="P1" s="3"/>
      <c r="Q1" s="19" t="s">
        <v>5</v>
      </c>
      <c r="R1" s="19" t="s">
        <v>6</v>
      </c>
      <c r="S1" s="19" t="s">
        <v>40</v>
      </c>
      <c r="T1" s="19" t="s">
        <v>41</v>
      </c>
    </row>
    <row r="2" spans="1:20" x14ac:dyDescent="0.2">
      <c r="A2" s="3">
        <f t="shared" ref="A2:A21" si="0">A3-$A$22*2%</f>
        <v>6.0000000000000053</v>
      </c>
      <c r="B2" s="3"/>
      <c r="C2" s="3">
        <f>(LN((A2*EXP(-BSM!$B$10*BSM!$B$9))/BSM!$B$6)+((BSM!$B$8+((BSM!$B$7)^2)/2)*BSM!$B$9)) / ((BSM!$B$7)*SQRT(BSM!$B$9))</f>
        <v>-0.69641793849099587</v>
      </c>
      <c r="D2" s="3">
        <f>C2-BSM!$B$7*SQRT(BSM!$B$9)</f>
        <v>-1.1206820072029244</v>
      </c>
      <c r="E2" s="3">
        <f>(A2*EXP(-BSM!$B$10*BSM!$B$9))*NORMSDIST(C2)-BSM!$B$6*EXP(-BSM!$B$8*BSM!$B$9)*NORMSDIST(D2)</f>
        <v>0.30098027768758184</v>
      </c>
      <c r="F2" s="3">
        <f>E2-(A2*EXP(-BSM!$B$10*BSM!$B$9))+BSM!$B$6*EXP(-BSM!$B$8*BSM!$B$9)</f>
        <v>3.1227683374483739</v>
      </c>
      <c r="G2" s="3"/>
      <c r="H2" s="38">
        <f t="shared" ref="H2:H21" si="1">H3-$H$22*2%</f>
        <v>0.17999999999999988</v>
      </c>
      <c r="I2" s="3"/>
      <c r="J2" s="3">
        <f>(LN((BSM!$B$5*EXP(-BSM!$B$10*BSM!$B$9))/BSM!$B$6)+((BSM!$B$8+((H2)^2)/2)*BSM!$B$9)) / ((H2)*SQRT(BSM!$B$9))</f>
        <v>0.61974183569519747</v>
      </c>
      <c r="K2" s="3">
        <f>J2-H2*SQRT(BSM!$B$9)</f>
        <v>0.36518339446804049</v>
      </c>
      <c r="L2" s="3">
        <f>(BSM!$B$5*EXP(-BSM!$B$10*BSM!$B$9))*NORMSDIST(J2)-BSM!$B$6*EXP(-BSM!$B$8*BSM!$B$9)*NORMSDIST(K2)</f>
        <v>1.6547499125606482</v>
      </c>
      <c r="M2" s="3">
        <f>L2-(BSM!$B$5*EXP(-BSM!$B$10*BSM!$B$9))+BSM!$B$6*EXP(-BSM!$B$8*BSM!$B$9)</f>
        <v>0.47653797232144512</v>
      </c>
      <c r="N2" s="3"/>
      <c r="O2" s="36">
        <f t="shared" ref="O2:O20" si="2">O3+$O$22*5%</f>
        <v>4.0000000000000018</v>
      </c>
      <c r="P2" s="3"/>
      <c r="Q2" s="3">
        <f>(LN((BSM!$B$5*EXP(-BSM!$B$10*O2))/BSM!$B$6)+((BSM!$B$8+((BSM!$B$7)^2)/2)*O2)) / ((BSM!$B$7)*SQRT(O2))</f>
        <v>0.54226752609637741</v>
      </c>
      <c r="R2" s="3">
        <f>Q2-BSM!$B$7*SQRT(O2)</f>
        <v>-5.7732473903622683E-2</v>
      </c>
      <c r="S2" s="3">
        <f>(BSM!$B$5*EXP(-BSM!$B$10*O2))*NORMSDIST(Q2)-BSM!$B$6*EXP(-BSM!$B$8*O2)*NORMSDIST(R2)</f>
        <v>2.937325300000218</v>
      </c>
      <c r="T2" s="3">
        <f>S2-(BSM!$B$5*EXP(-BSM!$B$10*O2))+BSM!$B$6*EXP(-BSM!$B$8*O2)</f>
        <v>1.584430252371126</v>
      </c>
    </row>
    <row r="3" spans="1:20" x14ac:dyDescent="0.2">
      <c r="A3" s="3">
        <f t="shared" si="0"/>
        <v>6.2000000000000055</v>
      </c>
      <c r="B3" s="3"/>
      <c r="C3" s="3">
        <f>(LN((A3*EXP(-BSM!$B$10*BSM!$B$9))/BSM!$B$6)+((BSM!$B$8+((BSM!$B$7)^2)/2)*BSM!$B$9)) / ((BSM!$B$7)*SQRT(BSM!$B$9))</f>
        <v>-0.61913158491752163</v>
      </c>
      <c r="D3" s="3">
        <f>C3-BSM!$B$7*SQRT(BSM!$B$9)</f>
        <v>-1.0433956536294502</v>
      </c>
      <c r="E3" s="3">
        <f>(A3*EXP(-BSM!$B$10*BSM!$B$9))*NORMSDIST(C3)-BSM!$B$6*EXP(-BSM!$B$8*BSM!$B$9)*NORMSDIST(D3)</f>
        <v>0.35207265525263587</v>
      </c>
      <c r="F3" s="3">
        <f>E3-(A3*EXP(-BSM!$B$10*BSM!$B$9))+BSM!$B$6*EXP(-BSM!$B$8*BSM!$B$9)</f>
        <v>2.9738607150134273</v>
      </c>
      <c r="G3" s="3"/>
      <c r="H3" s="38">
        <f t="shared" si="1"/>
        <v>0.18599999999999989</v>
      </c>
      <c r="I3" s="3"/>
      <c r="J3" s="3">
        <f>(LN((BSM!$B$5*EXP(-BSM!$B$10*BSM!$B$9))/BSM!$B$6)+((BSM!$B$8+((H3)^2)/2)*BSM!$B$9)) / ((H3)*SQRT(BSM!$B$9))</f>
        <v>0.60809858557323238</v>
      </c>
      <c r="K3" s="3">
        <f>J3-H3*SQRT(BSM!$B$9)</f>
        <v>0.34505486297183685</v>
      </c>
      <c r="L3" s="3">
        <f>(BSM!$B$5*EXP(-BSM!$B$10*BSM!$B$9))*NORMSDIST(J3)-BSM!$B$6*EXP(-BSM!$B$8*BSM!$B$9)*NORMSDIST(K3)</f>
        <v>1.6827884634248615</v>
      </c>
      <c r="M3" s="3">
        <f>L3-(BSM!$B$5*EXP(-BSM!$B$10*BSM!$B$9))+BSM!$B$6*EXP(-BSM!$B$8*BSM!$B$9)</f>
        <v>0.50457652318565849</v>
      </c>
      <c r="N3" s="3"/>
      <c r="O3" s="36">
        <f t="shared" si="2"/>
        <v>3.9000000000000017</v>
      </c>
      <c r="P3" s="3"/>
      <c r="Q3" s="3">
        <f>(LN((BSM!$B$5*EXP(-BSM!$B$10*O3))/BSM!$B$6)+((BSM!$B$8+((BSM!$B$7)^2)/2)*O3)) / ((BSM!$B$7)*SQRT(O3))</f>
        <v>0.53989222697060402</v>
      </c>
      <c r="R3" s="3">
        <f>Q3-BSM!$B$7*SQRT(O3)</f>
        <v>-5.2560302773341006E-2</v>
      </c>
      <c r="S3" s="3">
        <f>(BSM!$B$5*EXP(-BSM!$B$10*O3))*NORMSDIST(Q3)-BSM!$B$6*EXP(-BSM!$B$8*O3)*NORMSDIST(R3)</f>
        <v>2.9071799439968942</v>
      </c>
      <c r="T3" s="3">
        <f>S3-(BSM!$B$5*EXP(-BSM!$B$10*O3))+BSM!$B$6*EXP(-BSM!$B$8*O3)</f>
        <v>1.562936326314194</v>
      </c>
    </row>
    <row r="4" spans="1:20" x14ac:dyDescent="0.2">
      <c r="A4" s="3">
        <f t="shared" si="0"/>
        <v>6.4000000000000057</v>
      </c>
      <c r="B4" s="3"/>
      <c r="C4" s="3">
        <f>(LN((A4*EXP(-BSM!$B$10*BSM!$B$9))/BSM!$B$6)+((BSM!$B$8+((BSM!$B$7)^2)/2)*BSM!$B$9)) / ((BSM!$B$7)*SQRT(BSM!$B$9))</f>
        <v>-0.54429918534390309</v>
      </c>
      <c r="D4" s="3">
        <f>C4-BSM!$B$7*SQRT(BSM!$B$9)</f>
        <v>-0.96856325405583155</v>
      </c>
      <c r="E4" s="3">
        <f>(A4*EXP(-BSM!$B$10*BSM!$B$9))*NORMSDIST(C4)-BSM!$B$6*EXP(-BSM!$B$8*BSM!$B$9)*NORMSDIST(D4)</f>
        <v>0.40817097517889911</v>
      </c>
      <c r="F4" s="3">
        <f>E4-(A4*EXP(-BSM!$B$10*BSM!$B$9))+BSM!$B$6*EXP(-BSM!$B$8*BSM!$B$9)</f>
        <v>2.8299590349396908</v>
      </c>
      <c r="G4" s="3"/>
      <c r="H4" s="38">
        <f t="shared" si="1"/>
        <v>0.19199999999999989</v>
      </c>
      <c r="I4" s="3"/>
      <c r="J4" s="3">
        <f>(LN((BSM!$B$5*EXP(-BSM!$B$10*BSM!$B$9))/BSM!$B$6)+((BSM!$B$8+((H4)^2)/2)*BSM!$B$9)) / ((H4)*SQRT(BSM!$B$9))</f>
        <v>0.59744820362683482</v>
      </c>
      <c r="K4" s="3">
        <f>J4-H4*SQRT(BSM!$B$9)</f>
        <v>0.3259191996512007</v>
      </c>
      <c r="L4" s="3">
        <f>(BSM!$B$5*EXP(-BSM!$B$10*BSM!$B$9))*NORMSDIST(J4)-BSM!$B$6*EXP(-BSM!$B$8*BSM!$B$9)*NORMSDIST(K4)</f>
        <v>1.7110176442831966</v>
      </c>
      <c r="M4" s="3">
        <f>L4-(BSM!$B$5*EXP(-BSM!$B$10*BSM!$B$9))+BSM!$B$6*EXP(-BSM!$B$8*BSM!$B$9)</f>
        <v>0.53280570404399263</v>
      </c>
      <c r="N4" s="3"/>
      <c r="O4" s="36">
        <f t="shared" si="2"/>
        <v>3.8000000000000016</v>
      </c>
      <c r="P4" s="3"/>
      <c r="Q4" s="3">
        <f>(LN((BSM!$B$5*EXP(-BSM!$B$10*O4))/BSM!$B$6)+((BSM!$B$8+((BSM!$B$7)^2)/2)*O4)) / ((BSM!$B$7)*SQRT(O4))</f>
        <v>0.53754513969209339</v>
      </c>
      <c r="R4" s="3">
        <f>Q4-BSM!$B$7*SQRT(O4)</f>
        <v>-4.7262520996444568E-2</v>
      </c>
      <c r="S4" s="3">
        <f>(BSM!$B$5*EXP(-BSM!$B$10*O4))*NORMSDIST(Q4)-BSM!$B$6*EXP(-BSM!$B$8*O4)*NORMSDIST(R4)</f>
        <v>2.8766431267099213</v>
      </c>
      <c r="T4" s="3">
        <f>S4-(BSM!$B$5*EXP(-BSM!$B$10*O4))+BSM!$B$6*EXP(-BSM!$B$8*O4)</f>
        <v>1.5410595947307177</v>
      </c>
    </row>
    <row r="5" spans="1:20" x14ac:dyDescent="0.2">
      <c r="A5" s="3">
        <f t="shared" si="0"/>
        <v>6.6000000000000059</v>
      </c>
      <c r="B5" s="3"/>
      <c r="C5" s="3">
        <f>(LN((A5*EXP(-BSM!$B$10*BSM!$B$9))/BSM!$B$6)+((BSM!$B$8+((BSM!$B$7)^2)/2)*BSM!$B$9)) / ((BSM!$B$7)*SQRT(BSM!$B$9))</f>
        <v>-0.47176969030517191</v>
      </c>
      <c r="D5" s="3">
        <f>C5-BSM!$B$7*SQRT(BSM!$B$9)</f>
        <v>-0.89603375901710036</v>
      </c>
      <c r="E5" s="3">
        <f>(A5*EXP(-BSM!$B$10*BSM!$B$9))*NORMSDIST(C5)-BSM!$B$6*EXP(-BSM!$B$8*BSM!$B$9)*NORMSDIST(D5)</f>
        <v>0.46933474399477904</v>
      </c>
      <c r="F5" s="3">
        <f>E5-(A5*EXP(-BSM!$B$10*BSM!$B$9))+BSM!$B$6*EXP(-BSM!$B$8*BSM!$B$9)</f>
        <v>2.6911228037555706</v>
      </c>
      <c r="G5" s="3"/>
      <c r="H5" s="38">
        <f t="shared" si="1"/>
        <v>0.1979999999999999</v>
      </c>
      <c r="I5" s="3"/>
      <c r="J5" s="3">
        <f>(LN((BSM!$B$5*EXP(-BSM!$B$10*BSM!$B$9))/BSM!$B$6)+((BSM!$B$8+((H5)^2)/2)*BSM!$B$9)) / ((H5)*SQRT(BSM!$B$9))</f>
        <v>0.58770042911277176</v>
      </c>
      <c r="K5" s="3">
        <f>J5-H5*SQRT(BSM!$B$9)</f>
        <v>0.30768614376289904</v>
      </c>
      <c r="L5" s="3">
        <f>(BSM!$B$5*EXP(-BSM!$B$10*BSM!$B$9))*NORMSDIST(J5)-BSM!$B$6*EXP(-BSM!$B$8*BSM!$B$9)*NORMSDIST(K5)</f>
        <v>1.7394192988964372</v>
      </c>
      <c r="M5" s="3">
        <f>L5-(BSM!$B$5*EXP(-BSM!$B$10*BSM!$B$9))+BSM!$B$6*EXP(-BSM!$B$8*BSM!$B$9)</f>
        <v>0.56120735865723326</v>
      </c>
      <c r="N5" s="3"/>
      <c r="O5" s="36">
        <f t="shared" si="2"/>
        <v>3.7000000000000015</v>
      </c>
      <c r="P5" s="3"/>
      <c r="Q5" s="3">
        <f>(LN((BSM!$B$5*EXP(-BSM!$B$10*O5))/BSM!$B$6)+((BSM!$B$8+((BSM!$B$7)^2)/2)*O5)) / ((BSM!$B$7)*SQRT(O5))</f>
        <v>0.53522978740217542</v>
      </c>
      <c r="R5" s="3">
        <f>Q5-BSM!$B$7*SQRT(O5)</f>
        <v>-4.1831734447964952E-2</v>
      </c>
      <c r="S5" s="3">
        <f>(BSM!$B$5*EXP(-BSM!$B$10*O5))*NORMSDIST(Q5)-BSM!$B$6*EXP(-BSM!$B$8*O5)*NORMSDIST(R5)</f>
        <v>2.8457006616187961</v>
      </c>
      <c r="T5" s="3">
        <f>S5-(BSM!$B$5*EXP(-BSM!$B$10*O5))+BSM!$B$6*EXP(-BSM!$B$8*O5)</f>
        <v>1.5187858797602765</v>
      </c>
    </row>
    <row r="6" spans="1:20" x14ac:dyDescent="0.2">
      <c r="A6" s="3">
        <f t="shared" si="0"/>
        <v>6.800000000000006</v>
      </c>
      <c r="B6" s="3"/>
      <c r="C6" s="3">
        <f>(LN((A6*EXP(-BSM!$B$10*BSM!$B$9))/BSM!$B$6)+((BSM!$B$8+((BSM!$B$7)^2)/2)*BSM!$B$9)) / ((BSM!$B$7)*SQRT(BSM!$B$9))</f>
        <v>-0.40140558136633303</v>
      </c>
      <c r="D6" s="3">
        <f>C6-BSM!$B$7*SQRT(BSM!$B$9)</f>
        <v>-0.82566965007826154</v>
      </c>
      <c r="E6" s="3">
        <f>(A6*EXP(-BSM!$B$10*BSM!$B$9))*NORMSDIST(C6)-BSM!$B$6*EXP(-BSM!$B$8*BSM!$B$9)*NORMSDIST(D6)</f>
        <v>0.53559501487228123</v>
      </c>
      <c r="F6" s="3">
        <f>E6-(A6*EXP(-BSM!$B$10*BSM!$B$9))+BSM!$B$6*EXP(-BSM!$B$8*BSM!$B$9)</f>
        <v>2.5573830746330719</v>
      </c>
      <c r="G6" s="3"/>
      <c r="H6" s="38">
        <f t="shared" si="1"/>
        <v>0.2039999999999999</v>
      </c>
      <c r="I6" s="3"/>
      <c r="J6" s="3">
        <f>(LN((BSM!$B$5*EXP(-BSM!$B$10*BSM!$B$9))/BSM!$B$6)+((BSM!$B$8+((H6)^2)/2)*BSM!$B$9)) / ((H6)*SQRT(BSM!$B$9))</f>
        <v>0.57877562019877826</v>
      </c>
      <c r="K6" s="3">
        <f>J6-H6*SQRT(BSM!$B$9)</f>
        <v>0.29027605347466701</v>
      </c>
      <c r="L6" s="3">
        <f>(BSM!$B$5*EXP(-BSM!$B$10*BSM!$B$9))*NORMSDIST(J6)-BSM!$B$6*EXP(-BSM!$B$8*BSM!$B$9)*NORMSDIST(K6)</f>
        <v>1.767977162766015</v>
      </c>
      <c r="M6" s="3">
        <f>L6-(BSM!$B$5*EXP(-BSM!$B$10*BSM!$B$9))+BSM!$B$6*EXP(-BSM!$B$8*BSM!$B$9)</f>
        <v>0.58976522252681285</v>
      </c>
      <c r="N6" s="3"/>
      <c r="O6" s="36">
        <f t="shared" si="2"/>
        <v>3.6000000000000014</v>
      </c>
      <c r="P6" s="3"/>
      <c r="Q6" s="3">
        <f>(LN((BSM!$B$5*EXP(-BSM!$B$10*O6))/BSM!$B$6)+((BSM!$B$8+((BSM!$B$7)^2)/2)*O6)) / ((BSM!$B$7)*SQRT(O6))</f>
        <v>0.5329501009121691</v>
      </c>
      <c r="R6" s="3">
        <f>Q6-BSM!$B$7*SQRT(O6)</f>
        <v>-3.6259877918139227E-2</v>
      </c>
      <c r="S6" s="3">
        <f>(BSM!$B$5*EXP(-BSM!$B$10*O6))*NORMSDIST(Q6)-BSM!$B$6*EXP(-BSM!$B$8*O6)*NORMSDIST(R6)</f>
        <v>2.8143374442967328</v>
      </c>
      <c r="T6" s="3">
        <f>S6-(BSM!$B$5*EXP(-BSM!$B$10*O6))+BSM!$B$6*EXP(-BSM!$B$8*O6)</f>
        <v>1.496100085644839</v>
      </c>
    </row>
    <row r="7" spans="1:20" x14ac:dyDescent="0.2">
      <c r="A7" s="3">
        <f t="shared" si="0"/>
        <v>7.0000000000000062</v>
      </c>
      <c r="B7" s="3"/>
      <c r="C7" s="3">
        <f>(LN((A7*EXP(-BSM!$B$10*BSM!$B$9))/BSM!$B$6)+((BSM!$B$8+((BSM!$B$7)^2)/2)*BSM!$B$9)) / ((BSM!$B$7)*SQRT(BSM!$B$9))</f>
        <v>-0.33308130172309375</v>
      </c>
      <c r="D7" s="3">
        <f>C7-BSM!$B$7*SQRT(BSM!$B$9)</f>
        <v>-0.75734537043502226</v>
      </c>
      <c r="E7" s="3">
        <f>(A7*EXP(-BSM!$B$10*BSM!$B$9))*NORMSDIST(C7)-BSM!$B$6*EXP(-BSM!$B$8*BSM!$B$9)*NORMSDIST(D7)</f>
        <v>0.60695639433083715</v>
      </c>
      <c r="F7" s="3">
        <f>E7-(A7*EXP(-BSM!$B$10*BSM!$B$9))+BSM!$B$6*EXP(-BSM!$B$8*BSM!$B$9)</f>
        <v>2.4287444540916283</v>
      </c>
      <c r="G7" s="3"/>
      <c r="H7" s="38">
        <f t="shared" si="1"/>
        <v>0.20999999999999991</v>
      </c>
      <c r="I7" s="3"/>
      <c r="J7" s="3">
        <f>(LN((BSM!$B$5*EXP(-BSM!$B$10*BSM!$B$9))/BSM!$B$6)+((BSM!$B$8+((H7)^2)/2)*BSM!$B$9)) / ((H7)*SQRT(BSM!$B$9))</f>
        <v>0.57060323697627691</v>
      </c>
      <c r="K7" s="3">
        <f>J7-H7*SQRT(BSM!$B$9)</f>
        <v>0.27361838887792705</v>
      </c>
      <c r="L7" s="3">
        <f>(BSM!$B$5*EXP(-BSM!$B$10*BSM!$B$9))*NORMSDIST(J7)-BSM!$B$6*EXP(-BSM!$B$8*BSM!$B$9)*NORMSDIST(K7)</f>
        <v>1.7966766212154583</v>
      </c>
      <c r="M7" s="3">
        <f>L7-(BSM!$B$5*EXP(-BSM!$B$10*BSM!$B$9))+BSM!$B$6*EXP(-BSM!$B$8*BSM!$B$9)</f>
        <v>0.6184646809762544</v>
      </c>
      <c r="N7" s="3"/>
      <c r="O7" s="36">
        <f t="shared" si="2"/>
        <v>3.5000000000000013</v>
      </c>
      <c r="P7" s="3"/>
      <c r="Q7" s="3">
        <f>(LN((BSM!$B$5*EXP(-BSM!$B$10*O7))/BSM!$B$6)+((BSM!$B$8+((BSM!$B$7)^2)/2)*O7)) / ((BSM!$B$7)*SQRT(O7))</f>
        <v>0.53071047554257211</v>
      </c>
      <c r="R7" s="3">
        <f>Q7-BSM!$B$7*SQRT(O7)</f>
        <v>-3.0538132473519219E-2</v>
      </c>
      <c r="S7" s="3">
        <f>(BSM!$B$5*EXP(-BSM!$B$10*O7))*NORMSDIST(Q7)-BSM!$B$6*EXP(-BSM!$B$8*O7)*NORMSDIST(R7)</f>
        <v>2.7825373662835551</v>
      </c>
      <c r="T7" s="3">
        <f>S7-(BSM!$B$5*EXP(-BSM!$B$10*O7))+BSM!$B$6*EXP(-BSM!$B$8*O7)</f>
        <v>1.4729861126016539</v>
      </c>
    </row>
    <row r="8" spans="1:20" x14ac:dyDescent="0.2">
      <c r="A8" s="3">
        <f t="shared" si="0"/>
        <v>7.2000000000000064</v>
      </c>
      <c r="B8" s="3"/>
      <c r="C8" s="3">
        <f>(LN((A8*EXP(-BSM!$B$10*BSM!$B$9))/BSM!$B$6)+((BSM!$B$8+((BSM!$B$7)^2)/2)*BSM!$B$9)) / ((BSM!$B$7)*SQRT(BSM!$B$9))</f>
        <v>-0.2666819079393507</v>
      </c>
      <c r="D8" s="3">
        <f>C8-BSM!$B$7*SQRT(BSM!$B$9)</f>
        <v>-0.69094597665127921</v>
      </c>
      <c r="E8" s="3">
        <f>(A8*EXP(-BSM!$B$10*BSM!$B$9))*NORMSDIST(C8)-BSM!$B$6*EXP(-BSM!$B$8*BSM!$B$9)*NORMSDIST(D8)</f>
        <v>0.68339923163101002</v>
      </c>
      <c r="F8" s="3">
        <f>E8-(A8*EXP(-BSM!$B$10*BSM!$B$9))+BSM!$B$6*EXP(-BSM!$B$8*BSM!$B$9)</f>
        <v>2.3051872913918006</v>
      </c>
      <c r="G8" s="3"/>
      <c r="H8" s="38">
        <f t="shared" si="1"/>
        <v>0.21599999999999991</v>
      </c>
      <c r="I8" s="3"/>
      <c r="J8" s="3">
        <f>(LN((BSM!$B$5*EXP(-BSM!$B$10*BSM!$B$9))/BSM!$B$6)+((BSM!$B$8+((H8)^2)/2)*BSM!$B$9)) / ((H8)*SQRT(BSM!$B$9))</f>
        <v>0.56312057730430998</v>
      </c>
      <c r="K8" s="3">
        <f>J8-H8*SQRT(BSM!$B$9)</f>
        <v>0.25765044783172153</v>
      </c>
      <c r="L8" s="3">
        <f>(BSM!$B$5*EXP(-BSM!$B$10*BSM!$B$9))*NORMSDIST(J8)-BSM!$B$6*EXP(-BSM!$B$8*BSM!$B$9)*NORMSDIST(K8)</f>
        <v>1.8255045028114072</v>
      </c>
      <c r="M8" s="3">
        <f>L8-(BSM!$B$5*EXP(-BSM!$B$10*BSM!$B$9))+BSM!$B$6*EXP(-BSM!$B$8*BSM!$B$9)</f>
        <v>0.64729256257220413</v>
      </c>
      <c r="N8" s="3"/>
      <c r="O8" s="36">
        <f t="shared" si="2"/>
        <v>3.4000000000000012</v>
      </c>
      <c r="P8" s="3"/>
      <c r="Q8" s="3">
        <f>(LN((BSM!$B$5*EXP(-BSM!$B$10*O8))/BSM!$B$6)+((BSM!$B$8+((BSM!$B$7)^2)/2)*O8)) / ((BSM!$B$7)*SQRT(O8))</f>
        <v>0.52851583758125564</v>
      </c>
      <c r="R8" s="3">
        <f>Q8-BSM!$B$7*SQRT(O8)</f>
        <v>-2.4656829856317675E-2</v>
      </c>
      <c r="S8" s="3">
        <f>(BSM!$B$5*EXP(-BSM!$B$10*O8))*NORMSDIST(Q8)-BSM!$B$6*EXP(-BSM!$B$8*O8)*NORMSDIST(R8)</f>
        <v>2.7502832182608401</v>
      </c>
      <c r="T8" s="3">
        <f>S8-(BSM!$B$5*EXP(-BSM!$B$10*O8))+BSM!$B$6*EXP(-BSM!$B$8*O8)</f>
        <v>1.4494267599983992</v>
      </c>
    </row>
    <row r="9" spans="1:20" x14ac:dyDescent="0.2">
      <c r="A9" s="3">
        <f t="shared" si="0"/>
        <v>7.4000000000000066</v>
      </c>
      <c r="B9" s="3"/>
      <c r="C9" s="3">
        <f>(LN((A9*EXP(-BSM!$B$10*BSM!$B$9))/BSM!$B$6)+((BSM!$B$8+((BSM!$B$7)^2)/2)*BSM!$B$9)) / ((BSM!$B$7)*SQRT(BSM!$B$9))</f>
        <v>-0.20210190645278098</v>
      </c>
      <c r="D9" s="3">
        <f>C9-BSM!$B$7*SQRT(BSM!$B$9)</f>
        <v>-0.62636597516470949</v>
      </c>
      <c r="E9" s="3">
        <f>(A9*EXP(-BSM!$B$10*BSM!$B$9))*NORMSDIST(C9)-BSM!$B$6*EXP(-BSM!$B$8*BSM!$B$9)*NORMSDIST(D9)</f>
        <v>0.76488191205335587</v>
      </c>
      <c r="F9" s="3">
        <f>E9-(A9*EXP(-BSM!$B$10*BSM!$B$9))+BSM!$B$6*EXP(-BSM!$B$8*BSM!$B$9)</f>
        <v>2.1866699718141458</v>
      </c>
      <c r="G9" s="3"/>
      <c r="H9" s="38">
        <f t="shared" si="1"/>
        <v>0.22199999999999992</v>
      </c>
      <c r="I9" s="3"/>
      <c r="J9" s="3">
        <f>(LN((BSM!$B$5*EXP(-BSM!$B$10*BSM!$B$9))/BSM!$B$6)+((BSM!$B$8+((H9)^2)/2)*BSM!$B$9)) / ((H9)*SQRT(BSM!$B$9))</f>
        <v>0.55627171765175321</v>
      </c>
      <c r="K9" s="3">
        <f>J9-H9*SQRT(BSM!$B$9)</f>
        <v>0.24231630680492622</v>
      </c>
      <c r="L9" s="3">
        <f>(BSM!$B$5*EXP(-BSM!$B$10*BSM!$B$9))*NORMSDIST(J9)-BSM!$B$6*EXP(-BSM!$B$8*BSM!$B$9)*NORMSDIST(K9)</f>
        <v>1.8544489024153492</v>
      </c>
      <c r="M9" s="3">
        <f>L9-(BSM!$B$5*EXP(-BSM!$B$10*BSM!$B$9))+BSM!$B$6*EXP(-BSM!$B$8*BSM!$B$9)</f>
        <v>0.67623696217614615</v>
      </c>
      <c r="N9" s="3"/>
      <c r="O9" s="36">
        <f t="shared" si="2"/>
        <v>3.3000000000000012</v>
      </c>
      <c r="P9" s="3"/>
      <c r="Q9" s="3">
        <f>(LN((BSM!$B$5*EXP(-BSM!$B$10*O9))/BSM!$B$6)+((BSM!$B$8+((BSM!$B$7)^2)/2)*O9)) / ((BSM!$B$7)*SQRT(O9))</f>
        <v>0.52637172230788309</v>
      </c>
      <c r="R9" s="3">
        <f>Q9-BSM!$B$7*SQRT(O9)</f>
        <v>-1.8605341429665523E-2</v>
      </c>
      <c r="S9" s="3">
        <f>(BSM!$B$5*EXP(-BSM!$B$10*O9))*NORMSDIST(Q9)-BSM!$B$6*EXP(-BSM!$B$8*O9)*NORMSDIST(R9)</f>
        <v>2.7175565808587869</v>
      </c>
      <c r="T9" s="3">
        <f>S9-(BSM!$B$5*EXP(-BSM!$B$10*O9))+BSM!$B$6*EXP(-BSM!$B$8*O9)</f>
        <v>1.4254036171600752</v>
      </c>
    </row>
    <row r="10" spans="1:20" x14ac:dyDescent="0.2">
      <c r="A10" s="3">
        <f t="shared" si="0"/>
        <v>7.6000000000000068</v>
      </c>
      <c r="B10" s="3"/>
      <c r="C10" s="3">
        <f>(LN((A10*EXP(-BSM!$B$10*BSM!$B$9))/BSM!$B$6)+((BSM!$B$8+((BSM!$B$7)^2)/2)*BSM!$B$9)) / ((BSM!$B$7)*SQRT(BSM!$B$9))</f>
        <v>-0.1392442452722655</v>
      </c>
      <c r="D10" s="3">
        <f>C10-BSM!$B$7*SQRT(BSM!$B$9)</f>
        <v>-0.56350831398419399</v>
      </c>
      <c r="E10" s="3">
        <f>(A10*EXP(-BSM!$B$10*BSM!$B$9))*NORMSDIST(C10)-BSM!$B$6*EXP(-BSM!$B$8*BSM!$B$9)*NORMSDIST(D10)</f>
        <v>0.85134318815193044</v>
      </c>
      <c r="F10" s="3">
        <f>E10-(A10*EXP(-BSM!$B$10*BSM!$B$9))+BSM!$B$6*EXP(-BSM!$B$8*BSM!$B$9)</f>
        <v>2.0731312479127206</v>
      </c>
      <c r="G10" s="3"/>
      <c r="H10" s="38">
        <f t="shared" si="1"/>
        <v>0.22799999999999992</v>
      </c>
      <c r="I10" s="3"/>
      <c r="J10" s="3">
        <f>(LN((BSM!$B$5*EXP(-BSM!$B$10*BSM!$B$9))/BSM!$B$6)+((BSM!$B$8+((H10)^2)/2)*BSM!$B$9)) / ((H10)*SQRT(BSM!$B$9))</f>
        <v>0.55000662117496879</v>
      </c>
      <c r="K10" s="3">
        <f>J10-H10*SQRT(BSM!$B$9)</f>
        <v>0.22756592895390321</v>
      </c>
      <c r="L10" s="3">
        <f>(BSM!$B$5*EXP(-BSM!$B$10*BSM!$B$9))*NORMSDIST(J10)-BSM!$B$6*EXP(-BSM!$B$8*BSM!$B$9)*NORMSDIST(K10)</f>
        <v>1.8834990291503058</v>
      </c>
      <c r="M10" s="3">
        <f>L10-(BSM!$B$5*EXP(-BSM!$B$10*BSM!$B$9))+BSM!$B$6*EXP(-BSM!$B$8*BSM!$B$9)</f>
        <v>0.7052870889111027</v>
      </c>
      <c r="N10" s="3"/>
      <c r="O10" s="36">
        <f t="shared" si="2"/>
        <v>3.2000000000000011</v>
      </c>
      <c r="P10" s="3"/>
      <c r="Q10" s="3">
        <f>(LN((BSM!$B$5*EXP(-BSM!$B$10*O10))/BSM!$B$6)+((BSM!$B$8+((BSM!$B$7)^2)/2)*O10)) / ((BSM!$B$7)*SQRT(O10))</f>
        <v>0.52428436599607808</v>
      </c>
      <c r="R10" s="3">
        <f>Q10-BSM!$B$7*SQRT(O10)</f>
        <v>-1.2371948603871585E-2</v>
      </c>
      <c r="S10" s="3">
        <f>(BSM!$B$5*EXP(-BSM!$B$10*O10))*NORMSDIST(Q10)-BSM!$B$6*EXP(-BSM!$B$8*O10)*NORMSDIST(R10)</f>
        <v>2.6843377011071778</v>
      </c>
      <c r="T10" s="3">
        <f>S10-(BSM!$B$5*EXP(-BSM!$B$10*O10))+BSM!$B$6*EXP(-BSM!$B$8*O10)</f>
        <v>1.4008969398199556</v>
      </c>
    </row>
    <row r="11" spans="1:20" x14ac:dyDescent="0.2">
      <c r="A11" s="3">
        <f t="shared" si="0"/>
        <v>7.8000000000000069</v>
      </c>
      <c r="B11" s="3"/>
      <c r="C11" s="3">
        <f>(LN((A11*EXP(-BSM!$B$10*BSM!$B$9))/BSM!$B$6)+((BSM!$B$8+((BSM!$B$7)^2)/2)*BSM!$B$9)) / ((BSM!$B$7)*SQRT(BSM!$B$9))</f>
        <v>-7.8019436671050227E-2</v>
      </c>
      <c r="D11" s="3">
        <f>C11-BSM!$B$7*SQRT(BSM!$B$9)</f>
        <v>-0.50228350538297872</v>
      </c>
      <c r="E11" s="3">
        <f>(A11*EXP(-BSM!$B$10*BSM!$B$9))*NORMSDIST(C11)-BSM!$B$6*EXP(-BSM!$B$8*BSM!$B$9)*NORMSDIST(D11)</f>
        <v>0.94270449522052902</v>
      </c>
      <c r="F11" s="3">
        <f>E11-(A11*EXP(-BSM!$B$10*BSM!$B$9))+BSM!$B$6*EXP(-BSM!$B$8*BSM!$B$9)</f>
        <v>1.9644925549813195</v>
      </c>
      <c r="G11" s="3"/>
      <c r="H11" s="38">
        <f t="shared" si="1"/>
        <v>0.23399999999999993</v>
      </c>
      <c r="I11" s="3"/>
      <c r="J11" s="3">
        <f>(LN((BSM!$B$5*EXP(-BSM!$B$10*BSM!$B$9))/BSM!$B$6)+((BSM!$B$8+((H11)^2)/2)*BSM!$B$9)) / ((H11)*SQRT(BSM!$B$9))</f>
        <v>0.54428038301428194</v>
      </c>
      <c r="K11" s="3">
        <f>J11-H11*SQRT(BSM!$B$9)</f>
        <v>0.21335440941897776</v>
      </c>
      <c r="L11" s="3">
        <f>(BSM!$B$5*EXP(-BSM!$B$10*BSM!$B$9))*NORMSDIST(J11)-BSM!$B$6*EXP(-BSM!$B$8*BSM!$B$9)*NORMSDIST(K11)</f>
        <v>1.9126450753785607</v>
      </c>
      <c r="M11" s="3">
        <f>L11-(BSM!$B$5*EXP(-BSM!$B$10*BSM!$B$9))+BSM!$B$6*EXP(-BSM!$B$8*BSM!$B$9)</f>
        <v>0.73443313513935671</v>
      </c>
      <c r="N11" s="3"/>
      <c r="O11" s="36">
        <f t="shared" si="2"/>
        <v>3.100000000000001</v>
      </c>
      <c r="P11" s="3"/>
      <c r="Q11" s="3">
        <f>(LN((BSM!$B$5*EXP(-BSM!$B$10*O11))/BSM!$B$6)+((BSM!$B$8+((BSM!$B$7)^2)/2)*O11)) / ((BSM!$B$7)*SQRT(O11))</f>
        <v>0.52226081489786746</v>
      </c>
      <c r="R11" s="3">
        <f>Q11-BSM!$B$7*SQRT(O11)</f>
        <v>-5.9436909519028358E-3</v>
      </c>
      <c r="S11" s="3">
        <f>(BSM!$B$5*EXP(-BSM!$B$10*O11))*NORMSDIST(Q11)-BSM!$B$6*EXP(-BSM!$B$8*O11)*NORMSDIST(R11)</f>
        <v>2.6506053521541393</v>
      </c>
      <c r="T11" s="3">
        <f>S11-(BSM!$B$5*EXP(-BSM!$B$10*O11))+BSM!$B$6*EXP(-BSM!$B$8*O11)</f>
        <v>1.3758855098383727</v>
      </c>
    </row>
    <row r="12" spans="1:20" x14ac:dyDescent="0.2">
      <c r="A12" s="3">
        <f t="shared" si="0"/>
        <v>8.0000000000000071</v>
      </c>
      <c r="B12" s="3"/>
      <c r="C12" s="3">
        <f>(LN((A12*EXP(-BSM!$B$10*BSM!$B$9))/BSM!$B$6)+((BSM!$B$8+((BSM!$B$7)^2)/2)*BSM!$B$9)) / ((BSM!$B$7)*SQRT(BSM!$B$9))</f>
        <v>-1.8344790969482553E-2</v>
      </c>
      <c r="D12" s="3">
        <f>C12-BSM!$B$7*SQRT(BSM!$B$9)</f>
        <v>-0.44260885968141106</v>
      </c>
      <c r="E12" s="3">
        <f>(A12*EXP(-BSM!$B$10*BSM!$B$9))*NORMSDIST(C12)-BSM!$B$6*EXP(-BSM!$B$8*BSM!$B$9)*NORMSDIST(D12)</f>
        <v>1.0388722083100408</v>
      </c>
      <c r="F12" s="3">
        <f>E12-(A12*EXP(-BSM!$B$10*BSM!$B$9))+BSM!$B$6*EXP(-BSM!$B$8*BSM!$B$9)</f>
        <v>1.8606602680708306</v>
      </c>
      <c r="G12" s="3"/>
      <c r="H12" s="38">
        <f t="shared" si="1"/>
        <v>0.23999999999999994</v>
      </c>
      <c r="I12" s="3"/>
      <c r="J12" s="3">
        <f>(LN((BSM!$B$5*EXP(-BSM!$B$10*BSM!$B$9))/BSM!$B$6)+((BSM!$B$8+((H12)^2)/2)*BSM!$B$9)) / ((H12)*SQRT(BSM!$B$9))</f>
        <v>0.53905258879598561</v>
      </c>
      <c r="K12" s="3">
        <f>J12-H12*SQRT(BSM!$B$9)</f>
        <v>0.19964133382644289</v>
      </c>
      <c r="L12" s="3">
        <f>(BSM!$B$5*EXP(-BSM!$B$10*BSM!$B$9))*NORMSDIST(J12)-BSM!$B$6*EXP(-BSM!$B$8*BSM!$B$9)*NORMSDIST(K12)</f>
        <v>1.9418781034509296</v>
      </c>
      <c r="M12" s="3">
        <f>L12-(BSM!$B$5*EXP(-BSM!$B$10*BSM!$B$9))+BSM!$B$6*EXP(-BSM!$B$8*BSM!$B$9)</f>
        <v>0.76366616321172565</v>
      </c>
      <c r="N12" s="3"/>
      <c r="O12" s="36">
        <f t="shared" si="2"/>
        <v>3.0000000000000009</v>
      </c>
      <c r="P12" s="3"/>
      <c r="Q12" s="3">
        <f>(LN((BSM!$B$5*EXP(-BSM!$B$10*O12))/BSM!$B$6)+((BSM!$B$8+((BSM!$B$7)^2)/2)*O12)) / ((BSM!$B$7)*SQRT(O12))</f>
        <v>0.52030905497764035</v>
      </c>
      <c r="R12" s="3">
        <f>Q12-BSM!$B$7*SQRT(O12)</f>
        <v>6.9381270697710384E-4</v>
      </c>
      <c r="S12" s="3">
        <f>(BSM!$B$5*EXP(-BSM!$B$10*O12))*NORMSDIST(Q12)-BSM!$B$6*EXP(-BSM!$B$8*O12)*NORMSDIST(R12)</f>
        <v>2.6163366733975426</v>
      </c>
      <c r="T12" s="3">
        <f>S12-(BSM!$B$5*EXP(-BSM!$B$10*O12))+BSM!$B$6*EXP(-BSM!$B$8*O12)</f>
        <v>1.3503464753341152</v>
      </c>
    </row>
    <row r="13" spans="1:20" x14ac:dyDescent="0.2">
      <c r="A13" s="3">
        <f t="shared" si="0"/>
        <v>8.2000000000000064</v>
      </c>
      <c r="B13" s="3"/>
      <c r="C13" s="3">
        <f>(LN((A13*EXP(-BSM!$B$10*BSM!$B$9))/BSM!$B$6)+((BSM!$B$8+((BSM!$B$7)^2)/2)*BSM!$B$9)) / ((BSM!$B$7)*SQRT(BSM!$B$9))</f>
        <v>3.9856255056730558E-2</v>
      </c>
      <c r="D13" s="3">
        <f>C13-BSM!$B$7*SQRT(BSM!$B$9)</f>
        <v>-0.38440781365519794</v>
      </c>
      <c r="E13" s="3">
        <f>(A13*EXP(-BSM!$B$10*BSM!$B$9))*NORMSDIST(C13)-BSM!$B$6*EXP(-BSM!$B$8*BSM!$B$9)*NORMSDIST(D13)</f>
        <v>1.1397398080256935</v>
      </c>
      <c r="F13" s="3">
        <f>E13-(A13*EXP(-BSM!$B$10*BSM!$B$9))+BSM!$B$6*EXP(-BSM!$B$8*BSM!$B$9)</f>
        <v>1.7615278677864836</v>
      </c>
      <c r="G13" s="3"/>
      <c r="H13" s="38">
        <f t="shared" si="1"/>
        <v>0.24599999999999994</v>
      </c>
      <c r="I13" s="3"/>
      <c r="J13" s="3">
        <f>(LN((BSM!$B$5*EXP(-BSM!$B$10*BSM!$B$9))/BSM!$B$6)+((BSM!$B$8+((H13)^2)/2)*BSM!$B$9)) / ((H13)*SQRT(BSM!$B$9))</f>
        <v>0.53428676701209954</v>
      </c>
      <c r="K13" s="3">
        <f>J13-H13*SQRT(BSM!$B$9)</f>
        <v>0.18639023066831822</v>
      </c>
      <c r="L13" s="3">
        <f>(BSM!$B$5*EXP(-BSM!$B$10*BSM!$B$9))*NORMSDIST(J13)-BSM!$B$6*EXP(-BSM!$B$8*BSM!$B$9)*NORMSDIST(K13)</f>
        <v>1.9711899475323644</v>
      </c>
      <c r="M13" s="3">
        <f>L13-(BSM!$B$5*EXP(-BSM!$B$10*BSM!$B$9))+BSM!$B$6*EXP(-BSM!$B$8*BSM!$B$9)</f>
        <v>0.79297800729316137</v>
      </c>
      <c r="N13" s="3"/>
      <c r="O13" s="36">
        <f t="shared" si="2"/>
        <v>2.9000000000000008</v>
      </c>
      <c r="P13" s="3"/>
      <c r="Q13" s="3">
        <f>(LN((BSM!$B$5*EXP(-BSM!$B$10*O13))/BSM!$B$6)+((BSM!$B$8+((BSM!$B$7)^2)/2)*O13)) / ((BSM!$B$7)*SQRT(O13))</f>
        <v>0.51843816715122126</v>
      </c>
      <c r="R13" s="3">
        <f>Q13-BSM!$B$7*SQRT(O13)</f>
        <v>7.556576173429197E-3</v>
      </c>
      <c r="S13" s="3">
        <f>(BSM!$B$5*EXP(-BSM!$B$10*O13))*NORMSDIST(Q13)-BSM!$B$6*EXP(-BSM!$B$8*O13)*NORMSDIST(R13)</f>
        <v>2.5815069875801218</v>
      </c>
      <c r="T13" s="3">
        <f>S13-(BSM!$B$5*EXP(-BSM!$B$10*O13))+BSM!$B$6*EXP(-BSM!$B$8*O13)</f>
        <v>1.3242551677795653</v>
      </c>
    </row>
    <row r="14" spans="1:20" x14ac:dyDescent="0.2">
      <c r="A14" s="3">
        <f t="shared" si="0"/>
        <v>8.4000000000000057</v>
      </c>
      <c r="B14" s="3"/>
      <c r="C14" s="3">
        <f>(LN((A14*EXP(-BSM!$B$10*BSM!$B$9))/BSM!$B$6)+((BSM!$B$8+((BSM!$B$7)^2)/2)*BSM!$B$9)) / ((BSM!$B$7)*SQRT(BSM!$B$9))</f>
        <v>9.6654728828551223E-2</v>
      </c>
      <c r="D14" s="3">
        <f>C14-BSM!$B$7*SQRT(BSM!$B$9)</f>
        <v>-0.32760933988337726</v>
      </c>
      <c r="E14" s="3">
        <f>(A14*EXP(-BSM!$B$10*BSM!$B$9))*NORMSDIST(C14)-BSM!$B$6*EXP(-BSM!$B$8*BSM!$B$9)*NORMSDIST(D14)</f>
        <v>1.245189930955481</v>
      </c>
      <c r="F14" s="3">
        <f>E14-(A14*EXP(-BSM!$B$10*BSM!$B$9))+BSM!$B$6*EXP(-BSM!$B$8*BSM!$B$9)</f>
        <v>1.6669779907162727</v>
      </c>
      <c r="G14" s="3"/>
      <c r="H14" s="38">
        <f t="shared" si="1"/>
        <v>0.25199999999999995</v>
      </c>
      <c r="I14" s="3"/>
      <c r="J14" s="3">
        <f>(LN((BSM!$B$5*EXP(-BSM!$B$10*BSM!$B$9))/BSM!$B$6)+((BSM!$B$8+((H14)^2)/2)*BSM!$B$9)) / ((H14)*SQRT(BSM!$B$9))</f>
        <v>0.52994991963159488</v>
      </c>
      <c r="K14" s="3">
        <f>J14-H14*SQRT(BSM!$B$9)</f>
        <v>0.17356810191357497</v>
      </c>
      <c r="L14" s="3">
        <f>(BSM!$B$5*EXP(-BSM!$B$10*BSM!$B$9))*NORMSDIST(J14)-BSM!$B$6*EXP(-BSM!$B$8*BSM!$B$9)*NORMSDIST(K14)</f>
        <v>2.0005731282553105</v>
      </c>
      <c r="M14" s="3">
        <f>L14-(BSM!$B$5*EXP(-BSM!$B$10*BSM!$B$9))+BSM!$B$6*EXP(-BSM!$B$8*BSM!$B$9)</f>
        <v>0.82236118801610747</v>
      </c>
      <c r="N14" s="3"/>
      <c r="O14" s="36">
        <f t="shared" si="2"/>
        <v>2.8000000000000007</v>
      </c>
      <c r="P14" s="3"/>
      <c r="Q14" s="3">
        <f>(LN((BSM!$B$5*EXP(-BSM!$B$10*O14))/BSM!$B$6)+((BSM!$B$8+((BSM!$B$7)^2)/2)*O14)) / ((BSM!$B$7)*SQRT(O14))</f>
        <v>0.5166585140765918</v>
      </c>
      <c r="R14" s="3">
        <f>Q14-BSM!$B$7*SQRT(O14)</f>
        <v>1.4662498156146397E-2</v>
      </c>
      <c r="S14" s="3">
        <f>(BSM!$B$5*EXP(-BSM!$B$10*O14))*NORMSDIST(Q14)-BSM!$B$6*EXP(-BSM!$B$8*O14)*NORMSDIST(R14)</f>
        <v>2.5460895906587568</v>
      </c>
      <c r="T14" s="3">
        <f>S14-(BSM!$B$5*EXP(-BSM!$B$10*O14))+BSM!$B$6*EXP(-BSM!$B$8*O14)</f>
        <v>1.2975848918699784</v>
      </c>
    </row>
    <row r="15" spans="1:20" x14ac:dyDescent="0.2">
      <c r="A15" s="3">
        <f t="shared" si="0"/>
        <v>8.600000000000005</v>
      </c>
      <c r="B15" s="3"/>
      <c r="C15" s="3">
        <f>(LN((A15*EXP(-BSM!$B$10*BSM!$B$9))/BSM!$B$6)+((BSM!$B$8+((BSM!$B$7)^2)/2)*BSM!$B$9)) / ((BSM!$B$7)*SQRT(BSM!$B$9))</f>
        <v>0.15211664310668688</v>
      </c>
      <c r="D15" s="3">
        <f>C15-BSM!$B$7*SQRT(BSM!$B$9)</f>
        <v>-0.27214742560524163</v>
      </c>
      <c r="E15" s="3">
        <f>(A15*EXP(-BSM!$B$10*BSM!$B$9))*NORMSDIST(C15)-BSM!$B$6*EXP(-BSM!$B$8*BSM!$B$9)*NORMSDIST(D15)</f>
        <v>1.355096287950694</v>
      </c>
      <c r="F15" s="3">
        <f>E15-(A15*EXP(-BSM!$B$10*BSM!$B$9))+BSM!$B$6*EXP(-BSM!$B$8*BSM!$B$9)</f>
        <v>1.576884347711486</v>
      </c>
      <c r="G15" s="3"/>
      <c r="H15" s="38">
        <f t="shared" si="1"/>
        <v>0.25799999999999995</v>
      </c>
      <c r="I15" s="3"/>
      <c r="J15" s="3">
        <f>(LN((BSM!$B$5*EXP(-BSM!$B$10*BSM!$B$9))/BSM!$B$6)+((BSM!$B$8+((H15)^2)/2)*BSM!$B$9)) / ((H15)*SQRT(BSM!$B$9))</f>
        <v>0.52601211820772364</v>
      </c>
      <c r="K15" s="3">
        <f>J15-H15*SQRT(BSM!$B$9)</f>
        <v>0.16114501911546514</v>
      </c>
      <c r="L15" s="3">
        <f>(BSM!$B$5*EXP(-BSM!$B$10*BSM!$B$9))*NORMSDIST(J15)-BSM!$B$6*EXP(-BSM!$B$8*BSM!$B$9)*NORMSDIST(K15)</f>
        <v>2.0300207783197264</v>
      </c>
      <c r="M15" s="3">
        <f>L15-(BSM!$B$5*EXP(-BSM!$B$10*BSM!$B$9))+BSM!$B$6*EXP(-BSM!$B$8*BSM!$B$9)</f>
        <v>0.85180883808052332</v>
      </c>
      <c r="N15" s="3"/>
      <c r="O15" s="36">
        <f t="shared" si="2"/>
        <v>2.7000000000000006</v>
      </c>
      <c r="P15" s="3"/>
      <c r="Q15" s="3">
        <f>(LN((BSM!$B$5*EXP(-BSM!$B$10*O15))/BSM!$B$6)+((BSM!$B$8+((BSM!$B$7)^2)/2)*O15)) / ((BSM!$B$7)*SQRT(O15))</f>
        <v>0.51498196624327763</v>
      </c>
      <c r="R15" s="3">
        <f>Q15-BSM!$B$7*SQRT(O15)</f>
        <v>2.2031664488628144E-2</v>
      </c>
      <c r="S15" s="3">
        <f>(BSM!$B$5*EXP(-BSM!$B$10*O15))*NORMSDIST(Q15)-BSM!$B$6*EXP(-BSM!$B$8*O15)*NORMSDIST(R15)</f>
        <v>2.5100555093282013</v>
      </c>
      <c r="T15" s="3">
        <f>S15-(BSM!$B$5*EXP(-BSM!$B$10*O15))+BSM!$B$6*EXP(-BSM!$B$8*O15)</f>
        <v>1.2703066830472318</v>
      </c>
    </row>
    <row r="16" spans="1:20" x14ac:dyDescent="0.2">
      <c r="A16" s="3">
        <f t="shared" si="0"/>
        <v>8.8000000000000043</v>
      </c>
      <c r="B16" s="3"/>
      <c r="C16" s="3">
        <f>(LN((A16*EXP(-BSM!$B$10*BSM!$B$9))/BSM!$B$6)+((BSM!$B$8+((BSM!$B$7)^2)/2)*BSM!$B$9)) / ((BSM!$B$7)*SQRT(BSM!$B$9))</f>
        <v>0.20630345721634061</v>
      </c>
      <c r="D16" s="3">
        <f>C16-BSM!$B$7*SQRT(BSM!$B$9)</f>
        <v>-0.2179606114955879</v>
      </c>
      <c r="E16" s="3">
        <f>(A16*EXP(-BSM!$B$10*BSM!$B$9))*NORMSDIST(C16)-BSM!$B$6*EXP(-BSM!$B$8*BSM!$B$9)*NORMSDIST(D16)</f>
        <v>1.4693254396604707</v>
      </c>
      <c r="F16" s="3">
        <f>E16-(A16*EXP(-BSM!$B$10*BSM!$B$9))+BSM!$B$6*EXP(-BSM!$B$8*BSM!$B$9)</f>
        <v>1.4911134994212638</v>
      </c>
      <c r="G16" s="3"/>
      <c r="H16" s="38">
        <f t="shared" si="1"/>
        <v>0.26399999999999996</v>
      </c>
      <c r="I16" s="3"/>
      <c r="J16" s="3">
        <f>(LN((BSM!$B$5*EXP(-BSM!$B$10*BSM!$B$9))/BSM!$B$6)+((BSM!$B$8+((H16)^2)/2)*BSM!$B$9)) / ((H16)*SQRT(BSM!$B$9))</f>
        <v>0.52244615506162506</v>
      </c>
      <c r="K16" s="3">
        <f>J16-H16*SQRT(BSM!$B$9)</f>
        <v>0.14909377459512801</v>
      </c>
      <c r="L16" s="3">
        <f>(BSM!$B$5*EXP(-BSM!$B$10*BSM!$B$9))*NORMSDIST(J16)-BSM!$B$6*EXP(-BSM!$B$8*BSM!$B$9)*NORMSDIST(K16)</f>
        <v>2.0595265774614635</v>
      </c>
      <c r="M16" s="3">
        <f>L16-(BSM!$B$5*EXP(-BSM!$B$10*BSM!$B$9))+BSM!$B$6*EXP(-BSM!$B$8*BSM!$B$9)</f>
        <v>0.88131463722226044</v>
      </c>
      <c r="N16" s="3"/>
      <c r="O16" s="36">
        <f t="shared" si="2"/>
        <v>2.6000000000000005</v>
      </c>
      <c r="P16" s="3"/>
      <c r="Q16" s="3">
        <f>(LN((BSM!$B$5*EXP(-BSM!$B$10*O16))/BSM!$B$6)+((BSM!$B$8+((BSM!$B$7)^2)/2)*O16)) / ((BSM!$B$7)*SQRT(O16))</f>
        <v>0.51342217736762419</v>
      </c>
      <c r="R16" s="3">
        <f>Q16-BSM!$B$7*SQRT(O16)</f>
        <v>2.9686712469711218E-2</v>
      </c>
      <c r="S16" s="3">
        <f>(BSM!$B$5*EXP(-BSM!$B$10*O16))*NORMSDIST(Q16)-BSM!$B$6*EXP(-BSM!$B$8*O16)*NORMSDIST(R16)</f>
        <v>2.4733732199031015</v>
      </c>
      <c r="T16" s="3">
        <f>S16-(BSM!$B$5*EXP(-BSM!$B$10*O16))+BSM!$B$6*EXP(-BSM!$B$8*O16)</f>
        <v>1.2423890263818462</v>
      </c>
    </row>
    <row r="17" spans="1:20" x14ac:dyDescent="0.2">
      <c r="A17" s="37">
        <f t="shared" si="0"/>
        <v>9.0000000000000036</v>
      </c>
      <c r="B17" s="3"/>
      <c r="C17" s="3">
        <f>(LN((A17*EXP(-BSM!$B$10*BSM!$B$9))/BSM!$B$6)+((BSM!$B$8+((BSM!$B$7)^2)/2)*BSM!$B$9)) / ((BSM!$B$7)*SQRT(BSM!$B$9))</f>
        <v>0.25927248643506845</v>
      </c>
      <c r="D17" s="3">
        <f>C17-BSM!$B$7*SQRT(BSM!$B$9)</f>
        <v>-0.16499158227686006</v>
      </c>
      <c r="E17" s="3">
        <f>(A17*EXP(-BSM!$B$10*BSM!$B$9))*NORMSDIST(C17)-BSM!$B$6*EXP(-BSM!$B$8*BSM!$B$9)*NORMSDIST(D17)</f>
        <v>1.5877384238086556</v>
      </c>
      <c r="F17" s="3">
        <f>E17-(A17*EXP(-BSM!$B$10*BSM!$B$9))+BSM!$B$6*EXP(-BSM!$B$8*BSM!$B$9)</f>
        <v>1.409526483569449</v>
      </c>
      <c r="G17" s="3"/>
      <c r="H17" s="38">
        <f t="shared" si="1"/>
        <v>0.26999999999999996</v>
      </c>
      <c r="I17" s="3"/>
      <c r="J17" s="3">
        <f>(LN((BSM!$B$5*EXP(-BSM!$B$10*BSM!$B$9))/BSM!$B$6)+((BSM!$B$8+((H17)^2)/2)*BSM!$B$9)) / ((H17)*SQRT(BSM!$B$9))</f>
        <v>0.51922724097478035</v>
      </c>
      <c r="K17" s="3">
        <f>J17-H17*SQRT(BSM!$B$9)</f>
        <v>0.1373895791340447</v>
      </c>
      <c r="L17" s="3">
        <f>(BSM!$B$5*EXP(-BSM!$B$10*BSM!$B$9))*NORMSDIST(J17)-BSM!$B$6*EXP(-BSM!$B$8*BSM!$B$9)*NORMSDIST(K17)</f>
        <v>2.0890846954610849</v>
      </c>
      <c r="M17" s="3">
        <f>L17-(BSM!$B$5*EXP(-BSM!$B$10*BSM!$B$9))+BSM!$B$6*EXP(-BSM!$B$8*BSM!$B$9)</f>
        <v>0.91087275522188182</v>
      </c>
      <c r="N17" s="3"/>
      <c r="O17" s="36">
        <f t="shared" si="2"/>
        <v>2.5000000000000004</v>
      </c>
      <c r="P17" s="3"/>
      <c r="Q17" s="3">
        <f>(LN((BSM!$B$5*EXP(-BSM!$B$10*O17))/BSM!$B$6)+((BSM!$B$8+((BSM!$B$7)^2)/2)*O17)) / ((BSM!$B$7)*SQRT(O17))</f>
        <v>0.51199492213447828</v>
      </c>
      <c r="R17" s="3">
        <f>Q17-BSM!$B$7*SQRT(O17)</f>
        <v>3.7653273109221397E-2</v>
      </c>
      <c r="S17" s="3">
        <f>(BSM!$B$5*EXP(-BSM!$B$10*O17))*NORMSDIST(Q17)-BSM!$B$6*EXP(-BSM!$B$8*O17)*NORMSDIST(R17)</f>
        <v>2.4360083207629577</v>
      </c>
      <c r="T17" s="3">
        <f>S17-(BSM!$B$5*EXP(-BSM!$B$10*O17))+BSM!$B$6*EXP(-BSM!$B$8*O17)</f>
        <v>1.2137975290179517</v>
      </c>
    </row>
    <row r="18" spans="1:20" x14ac:dyDescent="0.2">
      <c r="A18" s="3">
        <f t="shared" si="0"/>
        <v>9.2000000000000028</v>
      </c>
      <c r="B18" s="3"/>
      <c r="C18" s="3">
        <f>(LN((A18*EXP(-BSM!$B$10*BSM!$B$9))/BSM!$B$6)+((BSM!$B$8+((BSM!$B$7)^2)/2)*BSM!$B$9)) / ((BSM!$B$7)*SQRT(BSM!$B$9))</f>
        <v>0.31107726638144345</v>
      </c>
      <c r="D18" s="3">
        <f>C18-BSM!$B$7*SQRT(BSM!$B$9)</f>
        <v>-0.11318680233048506</v>
      </c>
      <c r="E18" s="3">
        <f>(A18*EXP(-BSM!$B$10*BSM!$B$9))*NORMSDIST(C18)-BSM!$B$6*EXP(-BSM!$B$8*BSM!$B$9)*NORMSDIST(D18)</f>
        <v>1.7101922328041619</v>
      </c>
      <c r="F18" s="3">
        <f>E18-(A18*EXP(-BSM!$B$10*BSM!$B$9))+BSM!$B$6*EXP(-BSM!$B$8*BSM!$B$9)</f>
        <v>1.331980292564956</v>
      </c>
      <c r="G18" s="3"/>
      <c r="H18" s="38">
        <f t="shared" si="1"/>
        <v>0.27599999999999997</v>
      </c>
      <c r="I18" s="3"/>
      <c r="J18" s="3">
        <f>(LN((BSM!$B$5*EXP(-BSM!$B$10*BSM!$B$9))/BSM!$B$6)+((BSM!$B$8+((H18)^2)/2)*BSM!$B$9)) / ((H18)*SQRT(BSM!$B$9))</f>
        <v>0.51633274231289061</v>
      </c>
      <c r="K18" s="3">
        <f>J18-H18*SQRT(BSM!$B$9)</f>
        <v>0.12600979909791638</v>
      </c>
      <c r="L18" s="3">
        <f>(BSM!$B$5*EXP(-BSM!$B$10*BSM!$B$9))*NORMSDIST(J18)-BSM!$B$6*EXP(-BSM!$B$8*BSM!$B$9)*NORMSDIST(K18)</f>
        <v>2.1186897420725836</v>
      </c>
      <c r="M18" s="3">
        <f>L18-(BSM!$B$5*EXP(-BSM!$B$10*BSM!$B$9))+BSM!$B$6*EXP(-BSM!$B$8*BSM!$B$9)</f>
        <v>0.94047780183338059</v>
      </c>
      <c r="N18" s="3"/>
      <c r="O18" s="36">
        <f t="shared" si="2"/>
        <v>2.4000000000000004</v>
      </c>
      <c r="P18" s="3"/>
      <c r="Q18" s="3">
        <f>(LN((BSM!$B$5*EXP(-BSM!$B$10*O18))/BSM!$B$6)+((BSM!$B$8+((BSM!$B$7)^2)/2)*O18)) / ((BSM!$B$7)*SQRT(O18))</f>
        <v>0.51071851343887031</v>
      </c>
      <c r="R18" s="3">
        <f>Q18-BSM!$B$7*SQRT(O18)</f>
        <v>4.5960511893980316E-2</v>
      </c>
      <c r="S18" s="3">
        <f>(BSM!$B$5*EXP(-BSM!$B$10*O18))*NORMSDIST(Q18)-BSM!$B$6*EXP(-BSM!$B$8*O18)*NORMSDIST(R18)</f>
        <v>2.3979231486390518</v>
      </c>
      <c r="T18" s="3">
        <f>S18-(BSM!$B$5*EXP(-BSM!$B$10*O18))+BSM!$B$6*EXP(-BSM!$B$8*O18)</f>
        <v>1.1844945364602353</v>
      </c>
    </row>
    <row r="19" spans="1:20" x14ac:dyDescent="0.2">
      <c r="A19" s="3">
        <f t="shared" si="0"/>
        <v>9.4000000000000021</v>
      </c>
      <c r="B19" s="3"/>
      <c r="C19" s="3">
        <f>(LN((A19*EXP(-BSM!$B$10*BSM!$B$9))/BSM!$B$6)+((BSM!$B$8+((BSM!$B$7)^2)/2)*BSM!$B$9)) / ((BSM!$B$7)*SQRT(BSM!$B$9))</f>
        <v>0.36176787821255285</v>
      </c>
      <c r="D19" s="3">
        <f>C19-BSM!$B$7*SQRT(BSM!$B$9)</f>
        <v>-6.2496190499375659E-2</v>
      </c>
      <c r="E19" s="3">
        <f>(A19*EXP(-BSM!$B$10*BSM!$B$9))*NORMSDIST(C19)-BSM!$B$6*EXP(-BSM!$B$8*BSM!$B$9)*NORMSDIST(D19)</f>
        <v>1.836541143512382</v>
      </c>
      <c r="F19" s="3">
        <f>E19-(A19*EXP(-BSM!$B$10*BSM!$B$9))+BSM!$B$6*EXP(-BSM!$B$8*BSM!$B$9)</f>
        <v>1.2583292032731768</v>
      </c>
      <c r="G19" s="3"/>
      <c r="H19" s="38">
        <f t="shared" si="1"/>
        <v>0.28199999999999997</v>
      </c>
      <c r="I19" s="3"/>
      <c r="J19" s="3">
        <f>(LN((BSM!$B$5*EXP(-BSM!$B$10*BSM!$B$9))/BSM!$B$6)+((BSM!$B$8+((H19)^2)/2)*BSM!$B$9)) / ((H19)*SQRT(BSM!$B$9))</f>
        <v>0.51374195170840564</v>
      </c>
      <c r="K19" s="3">
        <f>J19-H19*SQRT(BSM!$B$9)</f>
        <v>0.11493372711919286</v>
      </c>
      <c r="L19" s="3">
        <f>(BSM!$B$5*EXP(-BSM!$B$10*BSM!$B$9))*NORMSDIST(J19)-BSM!$B$6*EXP(-BSM!$B$8*BSM!$B$9)*NORMSDIST(K19)</f>
        <v>2.1483367229237933</v>
      </c>
      <c r="M19" s="3">
        <f>L19-(BSM!$B$5*EXP(-BSM!$B$10*BSM!$B$9))+BSM!$B$6*EXP(-BSM!$B$8*BSM!$B$9)</f>
        <v>0.97012478268459024</v>
      </c>
      <c r="N19" s="3"/>
      <c r="O19" s="36">
        <f t="shared" si="2"/>
        <v>2.3000000000000003</v>
      </c>
      <c r="P19" s="3"/>
      <c r="Q19" s="3">
        <f>(LN((BSM!$B$5*EXP(-BSM!$B$10*O19))/BSM!$B$6)+((BSM!$B$8+((BSM!$B$7)^2)/2)*O19)) / ((BSM!$B$7)*SQRT(O19))</f>
        <v>0.50961432192082945</v>
      </c>
      <c r="R19" s="3">
        <f>Q19-BSM!$B$7*SQRT(O19)</f>
        <v>5.4641795277736382E-2</v>
      </c>
      <c r="S19" s="3">
        <f>(BSM!$B$5*EXP(-BSM!$B$10*O19))*NORMSDIST(Q19)-BSM!$B$6*EXP(-BSM!$B$8*O19)*NORMSDIST(R19)</f>
        <v>2.3590763265274237</v>
      </c>
      <c r="T19" s="3">
        <f>S19-(BSM!$B$5*EXP(-BSM!$B$10*O19))+BSM!$B$6*EXP(-BSM!$B$8*O19)</f>
        <v>1.1544386804869173</v>
      </c>
    </row>
    <row r="20" spans="1:20" x14ac:dyDescent="0.2">
      <c r="A20" s="3">
        <f t="shared" si="0"/>
        <v>9.6000000000000014</v>
      </c>
      <c r="B20" s="3"/>
      <c r="C20" s="3">
        <f>(LN((A20*EXP(-BSM!$B$10*BSM!$B$9))/BSM!$B$6)+((BSM!$B$8+((BSM!$B$7)^2)/2)*BSM!$B$9)) / ((BSM!$B$7)*SQRT(BSM!$B$9))</f>
        <v>0.41139123958216095</v>
      </c>
      <c r="D20" s="3">
        <f>C20-BSM!$B$7*SQRT(BSM!$B$9)</f>
        <v>-1.287282912976756E-2</v>
      </c>
      <c r="E20" s="3">
        <f>(A20*EXP(-BSM!$B$10*BSM!$B$9))*NORMSDIST(C20)-BSM!$B$6*EXP(-BSM!$B$8*BSM!$B$9)*NORMSDIST(D20)</f>
        <v>1.9666379035015078</v>
      </c>
      <c r="F20" s="3">
        <f>E20-(A20*EXP(-BSM!$B$10*BSM!$B$9))+BSM!$B$6*EXP(-BSM!$B$8*BSM!$B$9)</f>
        <v>1.1884259632623033</v>
      </c>
      <c r="G20" s="3"/>
      <c r="H20" s="38">
        <f t="shared" si="1"/>
        <v>0.28799999999999998</v>
      </c>
      <c r="I20" s="3"/>
      <c r="J20" s="3">
        <f>(LN((BSM!$B$5*EXP(-BSM!$B$10*BSM!$B$9))/BSM!$B$6)+((BSM!$B$8+((H20)^2)/2)*BSM!$B$9)) / ((H20)*SQRT(BSM!$B$9))</f>
        <v>0.51143588740773738</v>
      </c>
      <c r="K20" s="3">
        <f>J20-H20*SQRT(BSM!$B$9)</f>
        <v>0.104142381444286</v>
      </c>
      <c r="L20" s="3">
        <f>(BSM!$B$5*EXP(-BSM!$B$10*BSM!$B$9))*NORMSDIST(J20)-BSM!$B$6*EXP(-BSM!$B$8*BSM!$B$9)*NORMSDIST(K20)</f>
        <v>2.1780210005839402</v>
      </c>
      <c r="M20" s="3">
        <f>L20-(BSM!$B$5*EXP(-BSM!$B$10*BSM!$B$9))+BSM!$B$6*EXP(-BSM!$B$8*BSM!$B$9)</f>
        <v>0.99980906034473715</v>
      </c>
      <c r="N20" s="3"/>
      <c r="O20" s="36">
        <f t="shared" si="2"/>
        <v>2.2000000000000002</v>
      </c>
      <c r="P20" s="3"/>
      <c r="Q20" s="3">
        <f>(LN((BSM!$B$5*EXP(-BSM!$B$10*O20))/BSM!$B$6)+((BSM!$B$8+((BSM!$B$7)^2)/2)*O20)) / ((BSM!$B$7)*SQRT(O20))</f>
        <v>0.5087074284120503</v>
      </c>
      <c r="R20" s="3">
        <f>Q20-BSM!$B$7*SQRT(O20)</f>
        <v>6.3735519186310541E-2</v>
      </c>
      <c r="S20" s="3">
        <f>(BSM!$B$5*EXP(-BSM!$B$10*O20))*NORMSDIST(Q20)-BSM!$B$6*EXP(-BSM!$B$8*O20)*NORMSDIST(R20)</f>
        <v>2.3194222277503513</v>
      </c>
      <c r="T20" s="3">
        <f>S20-(BSM!$B$5*EXP(-BSM!$B$10*O20))+BSM!$B$6*EXP(-BSM!$B$8*O20)</f>
        <v>1.1235843432112418</v>
      </c>
    </row>
    <row r="21" spans="1:20" x14ac:dyDescent="0.2">
      <c r="A21" s="3">
        <f t="shared" si="0"/>
        <v>9.8000000000000007</v>
      </c>
      <c r="B21" s="3"/>
      <c r="C21" s="3">
        <f>(LN((A21*EXP(-BSM!$B$10*BSM!$B$9))/BSM!$B$6)+((BSM!$B$8+((BSM!$B$7)^2)/2)*BSM!$B$9)) / ((BSM!$B$7)*SQRT(BSM!$B$9))</f>
        <v>0.45999136559645204</v>
      </c>
      <c r="D21" s="3">
        <f>C21-BSM!$B$7*SQRT(BSM!$B$9)</f>
        <v>3.5727296884523529E-2</v>
      </c>
      <c r="E21" s="3">
        <f>(A21*EXP(-BSM!$B$10*BSM!$B$9))*NORMSDIST(C21)-BSM!$B$6*EXP(-BSM!$B$8*BSM!$B$9)*NORMSDIST(D21)</f>
        <v>2.1003347799250562</v>
      </c>
      <c r="F21" s="3">
        <f>E21-(A21*EXP(-BSM!$B$10*BSM!$B$9))+BSM!$B$6*EXP(-BSM!$B$8*BSM!$B$9)</f>
        <v>1.1221228396858525</v>
      </c>
      <c r="G21" s="3"/>
      <c r="H21" s="38">
        <f t="shared" si="1"/>
        <v>0.29399999999999998</v>
      </c>
      <c r="I21" s="3"/>
      <c r="J21" s="3">
        <f>(LN((BSM!$B$5*EXP(-BSM!$B$10*BSM!$B$9))/BSM!$B$6)+((BSM!$B$8+((H21)^2)/2)*BSM!$B$9)) / ((H21)*SQRT(BSM!$B$9))</f>
        <v>0.50939711718820335</v>
      </c>
      <c r="K21" s="3">
        <f>J21-H21*SQRT(BSM!$B$9)</f>
        <v>9.3618329850513382E-2</v>
      </c>
      <c r="L21" s="3">
        <f>(BSM!$B$5*EXP(-BSM!$B$10*BSM!$B$9))*NORMSDIST(J21)-BSM!$B$6*EXP(-BSM!$B$8*BSM!$B$9)*NORMSDIST(K21)</f>
        <v>2.2077382601136577</v>
      </c>
      <c r="M21" s="3">
        <f>L21-(BSM!$B$5*EXP(-BSM!$B$10*BSM!$B$9))+BSM!$B$6*EXP(-BSM!$B$8*BSM!$B$9)</f>
        <v>1.0295263198744546</v>
      </c>
      <c r="N21" s="3"/>
      <c r="O21" s="36">
        <f>O22+$O$22*5%</f>
        <v>2.1</v>
      </c>
      <c r="P21" s="3"/>
      <c r="Q21" s="3">
        <f>(LN((BSM!$B$5*EXP(-BSM!$B$10*O21))/BSM!$B$6)+((BSM!$B$8+((BSM!$B$7)^2)/2)*O21)) / ((BSM!$B$7)*SQRT(O21))</f>
        <v>0.50802745091352908</v>
      </c>
      <c r="R21" s="3">
        <f>Q21-BSM!$B$7*SQRT(O21)</f>
        <v>7.3286148527845929E-2</v>
      </c>
      <c r="S21" s="3">
        <f>(BSM!$B$5*EXP(-BSM!$B$10*O21))*NORMSDIST(Q21)-BSM!$B$6*EXP(-BSM!$B$8*O21)*NORMSDIST(R21)</f>
        <v>2.2789103363825145</v>
      </c>
      <c r="T21" s="3">
        <f>S21-(BSM!$B$5*EXP(-BSM!$B$10*O21))+BSM!$B$6*EXP(-BSM!$B$8*O21)</f>
        <v>1.0918810175076512</v>
      </c>
    </row>
    <row r="22" spans="1:20" x14ac:dyDescent="0.2">
      <c r="A22" s="40">
        <f>BSM!B5</f>
        <v>10</v>
      </c>
      <c r="B22" s="3"/>
      <c r="C22" s="3">
        <f>(LN((A22*EXP(-BSM!$B$10*BSM!$B$9))/BSM!$B$6)+((BSM!$B$8+((BSM!$B$7)^2)/2)*BSM!$B$9)) / ((BSM!$B$7)*SQRT(BSM!$B$9))</f>
        <v>0.50760960340493555</v>
      </c>
      <c r="D22" s="3">
        <f>C22-BSM!$B$7*SQRT(BSM!$B$9)</f>
        <v>8.334553469300704E-2</v>
      </c>
      <c r="E22" s="3">
        <f>(A22*EXP(-BSM!$B$10*BSM!$B$9))*NORMSDIST(C22)-BSM!$B$6*EXP(-BSM!$B$8*BSM!$B$9)*NORMSDIST(D22)</f>
        <v>2.237484478513327</v>
      </c>
      <c r="F22" s="3">
        <f>E22-(A22*EXP(-BSM!$B$10*BSM!$B$9))+BSM!$B$6*EXP(-BSM!$B$8*BSM!$B$9)</f>
        <v>1.0592725382741239</v>
      </c>
      <c r="G22" s="3"/>
      <c r="H22" s="39">
        <f>BSM!B7</f>
        <v>0.3</v>
      </c>
      <c r="I22" s="3"/>
      <c r="J22" s="3">
        <f>(LN((BSM!$B$5*EXP(-BSM!$B$10*BSM!$B$9))/BSM!$B$6)+((BSM!$B$8+((H22)^2)/2)*BSM!$B$9)) / ((H22)*SQRT(BSM!$B$9))</f>
        <v>0.50760960340493555</v>
      </c>
      <c r="K22" s="3">
        <f>J22-H22*SQRT(BSM!$B$9)</f>
        <v>8.334553469300704E-2</v>
      </c>
      <c r="L22" s="3">
        <f>(BSM!$B$5*EXP(-BSM!$B$10*BSM!$B$9))*NORMSDIST(J22)-BSM!$B$6*EXP(-BSM!$B$8*BSM!$B$9)*NORMSDIST(K22)</f>
        <v>2.237484478513327</v>
      </c>
      <c r="M22" s="3">
        <f>L22-(BSM!$B$5*EXP(-BSM!$B$10*BSM!$B$9))+BSM!$B$6*EXP(-BSM!$B$8*BSM!$B$9)</f>
        <v>1.0592725382741239</v>
      </c>
      <c r="N22" s="3"/>
      <c r="O22" s="35">
        <f>BSM!B9</f>
        <v>2</v>
      </c>
      <c r="P22" s="3"/>
      <c r="Q22" s="3">
        <f>(LN((BSM!$B$5*EXP(-BSM!$B$10*O22))/BSM!$B$6)+((BSM!$B$8+((BSM!$B$7)^2)/2)*O22)) / ((BSM!$B$7)*SQRT(O22))</f>
        <v>0.50760960340493555</v>
      </c>
      <c r="R22" s="3">
        <f>Q22-BSM!$B$7*SQRT(O22)</f>
        <v>8.334553469300704E-2</v>
      </c>
      <c r="S22" s="3">
        <f>(BSM!$B$5*EXP(-BSM!$B$10*O22))*NORMSDIST(Q22)-BSM!$B$6*EXP(-BSM!$B$8*O22)*NORMSDIST(R22)</f>
        <v>2.237484478513327</v>
      </c>
      <c r="T22" s="3">
        <f>S22-(BSM!$B$5*EXP(-BSM!$B$10*O22))+BSM!$B$6*EXP(-BSM!$B$8*O22)</f>
        <v>1.0592725382741239</v>
      </c>
    </row>
    <row r="23" spans="1:20" x14ac:dyDescent="0.2">
      <c r="A23" s="3">
        <f>A22+BSM!$B$5*2%</f>
        <v>10.199999999999999</v>
      </c>
      <c r="B23" s="3"/>
      <c r="C23" s="3">
        <f>(LN((A23*EXP(-BSM!$B$10*BSM!$B$9))/BSM!$B$6)+((BSM!$B$8+((BSM!$B$7)^2)/2)*BSM!$B$9)) / ((BSM!$B$7)*SQRT(BSM!$B$9))</f>
        <v>0.55428484355973029</v>
      </c>
      <c r="D23" s="3">
        <f>C23-BSM!$B$7*SQRT(BSM!$B$9)</f>
        <v>0.13002077484780178</v>
      </c>
      <c r="E23" s="3">
        <f>(A23*EXP(-BSM!$B$10*BSM!$B$9))*NORMSDIST(C23)-BSM!$B$6*EXP(-BSM!$B$8*BSM!$B$9)*NORMSDIST(D23)</f>
        <v>2.3779409410146997</v>
      </c>
      <c r="F23" s="3">
        <f>E23-(A23*EXP(-BSM!$B$10*BSM!$B$9))+BSM!$B$6*EXP(-BSM!$B$8*BSM!$B$9)</f>
        <v>0.99972900077549731</v>
      </c>
      <c r="G23" s="3"/>
      <c r="H23" s="38">
        <f t="shared" ref="H23:H42" si="3">H22+$H$22*2%</f>
        <v>0.30599999999999999</v>
      </c>
      <c r="I23" s="3"/>
      <c r="J23" s="3">
        <f>(LN((BSM!$B$5*EXP(-BSM!$B$10*BSM!$B$9))/BSM!$B$6)+((BSM!$B$8+((H23)^2)/2)*BSM!$B$9)) / ((H23)*SQRT(BSM!$B$9))</f>
        <v>0.50605856626756518</v>
      </c>
      <c r="K23" s="3">
        <f>J23-H23*SQRT(BSM!$B$9)</f>
        <v>7.3309216181398074E-2</v>
      </c>
      <c r="L23" s="3">
        <f>(BSM!$B$5*EXP(-BSM!$B$10*BSM!$B$9))*NORMSDIST(J23)-BSM!$B$6*EXP(-BSM!$B$8*BSM!$B$9)*NORMSDIST(K23)</f>
        <v>2.2672558975700783</v>
      </c>
      <c r="M23" s="3">
        <f>L23-(BSM!$B$5*EXP(-BSM!$B$10*BSM!$B$9))+BSM!$B$6*EXP(-BSM!$B$8*BSM!$B$9)</f>
        <v>1.0890439573308752</v>
      </c>
      <c r="N23" s="3"/>
      <c r="O23" s="36">
        <f>O22-$O$22*5%</f>
        <v>1.9</v>
      </c>
      <c r="P23" s="3"/>
      <c r="Q23" s="3">
        <f>(LN((BSM!$B$5*EXP(-BSM!$B$10*O23))/BSM!$B$6)+((BSM!$B$8+((BSM!$B$7)^2)/2)*O23)) / ((BSM!$B$7)*SQRT(O23))</f>
        <v>0.50749606648531087</v>
      </c>
      <c r="R23" s="3">
        <f>Q23-BSM!$B$7*SQRT(O23)</f>
        <v>9.3974603922604261E-2</v>
      </c>
      <c r="S23" s="3">
        <f>(BSM!$B$5*EXP(-BSM!$B$10*O23))*NORMSDIST(Q23)-BSM!$B$6*EXP(-BSM!$B$8*O23)*NORMSDIST(R23)</f>
        <v>2.1950818910663399</v>
      </c>
      <c r="T23" s="3">
        <f>S23-(BSM!$B$5*EXP(-BSM!$B$10*O23))+BSM!$B$6*EXP(-BSM!$B$8*O23)</f>
        <v>1.0256961512515934</v>
      </c>
    </row>
    <row r="24" spans="1:20" x14ac:dyDescent="0.2">
      <c r="A24" s="3">
        <f>A23+BSM!$B$5*2%</f>
        <v>10.399999999999999</v>
      </c>
      <c r="B24" s="3"/>
      <c r="C24" s="3">
        <f>(LN((A24*EXP(-BSM!$B$10*BSM!$B$9))/BSM!$B$6)+((BSM!$B$8+((BSM!$B$7)^2)/2)*BSM!$B$9)) / ((BSM!$B$7)*SQRT(BSM!$B$9))</f>
        <v>0.60005371085046066</v>
      </c>
      <c r="D24" s="3">
        <f>C24-BSM!$B$7*SQRT(BSM!$B$9)</f>
        <v>0.17578964213853215</v>
      </c>
      <c r="E24" s="3">
        <f>(A24*EXP(-BSM!$B$10*BSM!$B$9))*NORMSDIST(C24)-BSM!$B$6*EXP(-BSM!$B$8*BSM!$B$9)*NORMSDIST(D24)</f>
        <v>2.5215600299353857</v>
      </c>
      <c r="F24" s="3">
        <f>E24-(A24*EXP(-BSM!$B$10*BSM!$B$9))+BSM!$B$6*EXP(-BSM!$B$8*BSM!$B$9)</f>
        <v>0.94334808969618411</v>
      </c>
      <c r="G24" s="3"/>
      <c r="H24" s="38">
        <f t="shared" si="3"/>
        <v>0.312</v>
      </c>
      <c r="I24" s="3"/>
      <c r="J24" s="3">
        <f>(LN((BSM!$B$5*EXP(-BSM!$B$10*BSM!$B$9))/BSM!$B$6)+((BSM!$B$8+((H24)^2)/2)*BSM!$B$9)) / ((H24)*SQRT(BSM!$B$9))</f>
        <v>0.50473036289267514</v>
      </c>
      <c r="K24" s="3">
        <f>J24-H24*SQRT(BSM!$B$9)</f>
        <v>6.3495731432269442E-2</v>
      </c>
      <c r="L24" s="3">
        <f>(BSM!$B$5*EXP(-BSM!$B$10*BSM!$B$9))*NORMSDIST(J24)-BSM!$B$6*EXP(-BSM!$B$8*BSM!$B$9)*NORMSDIST(K24)</f>
        <v>2.2970489996747654</v>
      </c>
      <c r="M24" s="3">
        <f>L24-(BSM!$B$5*EXP(-BSM!$B$10*BSM!$B$9))+BSM!$B$6*EXP(-BSM!$B$8*BSM!$B$9)</f>
        <v>1.1188370594355623</v>
      </c>
      <c r="N24" s="3"/>
      <c r="O24" s="36">
        <f t="shared" ref="O24:O41" si="4">O23-$O$22*5%</f>
        <v>1.7999999999999998</v>
      </c>
      <c r="P24" s="3"/>
      <c r="Q24" s="3">
        <f>(LN((BSM!$B$5*EXP(-BSM!$B$10*O24))/BSM!$B$6)+((BSM!$B$8+((BSM!$B$7)^2)/2)*O24)) / ((BSM!$B$7)*SQRT(O24))</f>
        <v>0.50773778325312202</v>
      </c>
      <c r="R24" s="3">
        <f>Q24-BSM!$B$7*SQRT(O24)</f>
        <v>0.10524554730315988</v>
      </c>
      <c r="S24" s="3">
        <f>(BSM!$B$5*EXP(-BSM!$B$10*O24))*NORMSDIST(Q24)-BSM!$B$6*EXP(-BSM!$B$8*O24)*NORMSDIST(R24)</f>
        <v>2.1516320843128964</v>
      </c>
      <c r="T24" s="3">
        <f>S24-(BSM!$B$5*EXP(-BSM!$B$10*O24))+BSM!$B$6*EXP(-BSM!$B$8*O24)</f>
        <v>0.99108137553760312</v>
      </c>
    </row>
    <row r="25" spans="1:20" x14ac:dyDescent="0.2">
      <c r="A25" s="3">
        <f>A24+BSM!$B$5*2%</f>
        <v>10.599999999999998</v>
      </c>
      <c r="B25" s="3"/>
      <c r="C25" s="3">
        <f>(LN((A25*EXP(-BSM!$B$10*BSM!$B$9))/BSM!$B$6)+((BSM!$B$8+((BSM!$B$7)^2)/2)*BSM!$B$9)) / ((BSM!$B$7)*SQRT(BSM!$B$9))</f>
        <v>0.64495073696093241</v>
      </c>
      <c r="D25" s="3">
        <f>C25-BSM!$B$7*SQRT(BSM!$B$9)</f>
        <v>0.2206866682490039</v>
      </c>
      <c r="E25" s="3">
        <f>(A25*EXP(-BSM!$B$10*BSM!$B$9))*NORMSDIST(C25)-BSM!$B$6*EXP(-BSM!$B$8*BSM!$B$9)*NORMSDIST(D25)</f>
        <v>2.6682001096452792</v>
      </c>
      <c r="F25" s="3">
        <f>E25-(A25*EXP(-BSM!$B$10*BSM!$B$9))+BSM!$B$6*EXP(-BSM!$B$8*BSM!$B$9)</f>
        <v>0.88998816940607828</v>
      </c>
      <c r="G25" s="3"/>
      <c r="H25" s="38">
        <f t="shared" si="3"/>
        <v>0.318</v>
      </c>
      <c r="I25" s="3"/>
      <c r="J25" s="3">
        <f>(LN((BSM!$B$5*EXP(-BSM!$B$10*BSM!$B$9))/BSM!$B$6)+((BSM!$B$8+((H25)^2)/2)*BSM!$B$9)) / ((H25)*SQRT(BSM!$B$9))</f>
        <v>0.50361238004842701</v>
      </c>
      <c r="K25" s="3">
        <f>J25-H25*SQRT(BSM!$B$9)</f>
        <v>5.3892467213782769E-2</v>
      </c>
      <c r="L25" s="3">
        <f>(BSM!$B$5*EXP(-BSM!$B$10*BSM!$B$9))*NORMSDIST(J25)-BSM!$B$6*EXP(-BSM!$B$8*BSM!$B$9)*NORMSDIST(K25)</f>
        <v>2.3268604862404771</v>
      </c>
      <c r="M25" s="3">
        <f>L25-(BSM!$B$5*EXP(-BSM!$B$10*BSM!$B$9))+BSM!$B$6*EXP(-BSM!$B$8*BSM!$B$9)</f>
        <v>1.1486485460012741</v>
      </c>
      <c r="N25" s="3"/>
      <c r="O25" s="36">
        <f t="shared" si="4"/>
        <v>1.6999999999999997</v>
      </c>
      <c r="P25" s="3"/>
      <c r="Q25" s="3">
        <f>(LN((BSM!$B$5*EXP(-BSM!$B$10*O25))/BSM!$B$6)+((BSM!$B$8+((BSM!$B$7)^2)/2)*O25)) / ((BSM!$B$7)*SQRT(O25))</f>
        <v>0.50839684391229045</v>
      </c>
      <c r="R25" s="3">
        <f>Q25-BSM!$B$7*SQRT(O25)</f>
        <v>0.11724469960013156</v>
      </c>
      <c r="S25" s="3">
        <f>(BSM!$B$5*EXP(-BSM!$B$10*O25))*NORMSDIST(Q25)-BSM!$B$6*EXP(-BSM!$B$8*O25)*NORMSDIST(R25)</f>
        <v>2.1070554395751691</v>
      </c>
      <c r="T25" s="3">
        <f>S25-(BSM!$B$5*EXP(-BSM!$B$10*O25))+BSM!$B$6*EXP(-BSM!$B$8*O25)</f>
        <v>0.95534860128935595</v>
      </c>
    </row>
    <row r="26" spans="1:20" x14ac:dyDescent="0.2">
      <c r="A26" s="3">
        <f>A25+BSM!$B$5*2%</f>
        <v>10.799999999999997</v>
      </c>
      <c r="B26" s="3"/>
      <c r="C26" s="3">
        <f>(LN((A26*EXP(-BSM!$B$10*BSM!$B$9))/BSM!$B$6)+((BSM!$B$8+((BSM!$B$7)^2)/2)*BSM!$B$9)) / ((BSM!$B$7)*SQRT(BSM!$B$9))</f>
        <v>0.68900851698671206</v>
      </c>
      <c r="D26" s="3">
        <f>C26-BSM!$B$7*SQRT(BSM!$B$9)</f>
        <v>0.26474444827478355</v>
      </c>
      <c r="E26" s="3">
        <f>(A26*EXP(-BSM!$B$10*BSM!$B$9))*NORMSDIST(C26)-BSM!$B$6*EXP(-BSM!$B$8*BSM!$B$9)*NORMSDIST(D26)</f>
        <v>2.8177225329097961</v>
      </c>
      <c r="F26" s="3">
        <f>E26-(A26*EXP(-BSM!$B$10*BSM!$B$9))+BSM!$B$6*EXP(-BSM!$B$8*BSM!$B$9)</f>
        <v>0.83951059267059591</v>
      </c>
      <c r="G26" s="3"/>
      <c r="H26" s="38">
        <f t="shared" si="3"/>
        <v>0.32400000000000001</v>
      </c>
      <c r="I26" s="3"/>
      <c r="J26" s="3">
        <f>(LN((BSM!$B$5*EXP(-BSM!$B$10*BSM!$B$9))/BSM!$B$6)+((BSM!$B$8+((H26)^2)/2)*BSM!$B$9)) / ((H26)*SQRT(BSM!$B$9))</f>
        <v>0.50269293881645183</v>
      </c>
      <c r="K26" s="3">
        <f>J26-H26*SQRT(BSM!$B$9)</f>
        <v>4.4487744607568991E-2</v>
      </c>
      <c r="L26" s="3">
        <f>(BSM!$B$5*EXP(-BSM!$B$10*BSM!$B$9))*NORMSDIST(J26)-BSM!$B$6*EXP(-BSM!$B$8*BSM!$B$9)*NORMSDIST(K26)</f>
        <v>2.3566872584047776</v>
      </c>
      <c r="M26" s="3">
        <f>L26-(BSM!$B$5*EXP(-BSM!$B$10*BSM!$B$9))+BSM!$B$6*EXP(-BSM!$B$8*BSM!$B$9)</f>
        <v>1.1784753181655745</v>
      </c>
      <c r="N26" s="3"/>
      <c r="O26" s="36">
        <f t="shared" si="4"/>
        <v>1.5999999999999996</v>
      </c>
      <c r="P26" s="3"/>
      <c r="Q26" s="3">
        <f>(LN((BSM!$B$5*EXP(-BSM!$B$10*O26))/BSM!$B$6)+((BSM!$B$8+((BSM!$B$7)^2)/2)*O26)) / ((BSM!$B$7)*SQRT(O26))</f>
        <v>0.50954969918615201</v>
      </c>
      <c r="R26" s="3">
        <f>Q26-BSM!$B$7*SQRT(O26)</f>
        <v>0.13007637996594656</v>
      </c>
      <c r="S26" s="3">
        <f>(BSM!$B$5*EXP(-BSM!$B$10*O26))*NORMSDIST(Q26)-BSM!$B$6*EXP(-BSM!$B$8*O26)*NORMSDIST(R26)</f>
        <v>2.0612614630703723</v>
      </c>
      <c r="T26" s="3">
        <f>S26-(BSM!$B$5*EXP(-BSM!$B$10*O26))+BSM!$B$6*EXP(-BSM!$B$8*O26)</f>
        <v>0.91840734356793785</v>
      </c>
    </row>
    <row r="27" spans="1:20" x14ac:dyDescent="0.2">
      <c r="A27" s="3">
        <f>A26+BSM!$B$5*2%</f>
        <v>10.999999999999996</v>
      </c>
      <c r="B27" s="3"/>
      <c r="C27" s="3">
        <f>(LN((A27*EXP(-BSM!$B$10*BSM!$B$9))/BSM!$B$6)+((BSM!$B$8+((BSM!$B$7)^2)/2)*BSM!$B$9)) / ((BSM!$B$7)*SQRT(BSM!$B$9))</f>
        <v>0.73225785159075885</v>
      </c>
      <c r="D27" s="3">
        <f>C27-BSM!$B$7*SQRT(BSM!$B$9)</f>
        <v>0.30799378287883034</v>
      </c>
      <c r="E27" s="3">
        <f>(A27*EXP(-BSM!$B$10*BSM!$B$9))*NORMSDIST(C27)-BSM!$B$6*EXP(-BSM!$B$8*BSM!$B$9)*NORMSDIST(D27)</f>
        <v>2.9699920417258241</v>
      </c>
      <c r="F27" s="3">
        <f>E27-(A27*EXP(-BSM!$B$10*BSM!$B$9))+BSM!$B$6*EXP(-BSM!$B$8*BSM!$B$9)</f>
        <v>0.79178010148662459</v>
      </c>
      <c r="G27" s="3"/>
      <c r="H27" s="38">
        <f t="shared" si="3"/>
        <v>0.33</v>
      </c>
      <c r="I27" s="3"/>
      <c r="J27" s="3">
        <f>(LN((BSM!$B$5*EXP(-BSM!$B$10*BSM!$B$9))/BSM!$B$6)+((BSM!$B$8+((H27)^2)/2)*BSM!$B$9)) / ((H27)*SQRT(BSM!$B$9))</f>
        <v>0.50196120965426172</v>
      </c>
      <c r="K27" s="3">
        <f>J27-H27*SQRT(BSM!$B$9)</f>
        <v>3.5270734071140286E-2</v>
      </c>
      <c r="L27" s="3">
        <f>(BSM!$B$5*EXP(-BSM!$B$10*BSM!$B$9))*NORMSDIST(J27)-BSM!$B$6*EXP(-BSM!$B$8*BSM!$B$9)*NORMSDIST(K27)</f>
        <v>2.386526399741288</v>
      </c>
      <c r="M27" s="3">
        <f>L27-(BSM!$B$5*EXP(-BSM!$B$10*BSM!$B$9))+BSM!$B$6*EXP(-BSM!$B$8*BSM!$B$9)</f>
        <v>1.2083144595020849</v>
      </c>
      <c r="N27" s="3"/>
      <c r="O27" s="36">
        <f t="shared" si="4"/>
        <v>1.4999999999999996</v>
      </c>
      <c r="P27" s="3"/>
      <c r="Q27" s="3">
        <f>(LN((BSM!$B$5*EXP(-BSM!$B$10*O27))/BSM!$B$6)+((BSM!$B$8+((BSM!$B$7)^2)/2)*O27)) / ((BSM!$B$7)*SQRT(O27))</f>
        <v>0.51129156241978246</v>
      </c>
      <c r="R27" s="3">
        <f>Q27-BSM!$B$7*SQRT(O27)</f>
        <v>0.14386810100230579</v>
      </c>
      <c r="S27" s="3">
        <f>(BSM!$B$5*EXP(-BSM!$B$10*O27))*NORMSDIST(Q27)-BSM!$B$6*EXP(-BSM!$B$8*O27)*NORMSDIST(R27)</f>
        <v>2.0141465875844258</v>
      </c>
      <c r="T27" s="3">
        <f>S27-(BSM!$B$5*EXP(-BSM!$B$10*O27))+BSM!$B$6*EXP(-BSM!$B$8*O27)</f>
        <v>0.88015404401198971</v>
      </c>
    </row>
    <row r="28" spans="1:20" x14ac:dyDescent="0.2">
      <c r="A28" s="3">
        <f>A27+BSM!$B$5*2%</f>
        <v>11.199999999999996</v>
      </c>
      <c r="B28" s="3"/>
      <c r="C28" s="3">
        <f>(LN((A28*EXP(-BSM!$B$10*BSM!$B$9))/BSM!$B$6)+((BSM!$B$8+((BSM!$B$7)^2)/2)*BSM!$B$9)) / ((BSM!$B$7)*SQRT(BSM!$B$9))</f>
        <v>0.77472787635006191</v>
      </c>
      <c r="D28" s="3">
        <f>C28-BSM!$B$7*SQRT(BSM!$B$9)</f>
        <v>0.3504638076381334</v>
      </c>
      <c r="E28" s="3">
        <f>(A28*EXP(-BSM!$B$10*BSM!$B$9))*NORMSDIST(C28)-BSM!$B$6*EXP(-BSM!$B$8*BSM!$B$9)*NORMSDIST(D28)</f>
        <v>3.1248770910280053</v>
      </c>
      <c r="F28" s="3">
        <f>E28-(A28*EXP(-BSM!$B$10*BSM!$B$9))+BSM!$B$6*EXP(-BSM!$B$8*BSM!$B$9)</f>
        <v>0.74666515078880558</v>
      </c>
      <c r="G28" s="3"/>
      <c r="H28" s="38">
        <f t="shared" si="3"/>
        <v>0.33600000000000002</v>
      </c>
      <c r="I28" s="3"/>
      <c r="J28" s="3">
        <f>(LN((BSM!$B$5*EXP(-BSM!$B$10*BSM!$B$9))/BSM!$B$6)+((BSM!$B$8+((H28)^2)/2)*BSM!$B$9)) / ((H28)*SQRT(BSM!$B$9))</f>
        <v>0.50140713655811853</v>
      </c>
      <c r="K28" s="3">
        <f>J28-H28*SQRT(BSM!$B$9)</f>
        <v>2.6231379600758553E-2</v>
      </c>
      <c r="L28" s="3">
        <f>(BSM!$B$5*EXP(-BSM!$B$10*BSM!$B$9))*NORMSDIST(J28)-BSM!$B$6*EXP(-BSM!$B$8*BSM!$B$9)*NORMSDIST(K28)</f>
        <v>2.4163751607427573</v>
      </c>
      <c r="M28" s="3">
        <f>L28-(BSM!$B$5*EXP(-BSM!$B$10*BSM!$B$9))+BSM!$B$6*EXP(-BSM!$B$8*BSM!$B$9)</f>
        <v>1.2381632205035542</v>
      </c>
      <c r="N28" s="3"/>
      <c r="O28" s="36">
        <f t="shared" si="4"/>
        <v>1.3999999999999995</v>
      </c>
      <c r="P28" s="3"/>
      <c r="Q28" s="3">
        <f>(LN((BSM!$B$5*EXP(-BSM!$B$10*O28))/BSM!$B$6)+((BSM!$B$8+((BSM!$B$7)^2)/2)*O28)) / ((BSM!$B$7)*SQRT(O28))</f>
        <v>0.51374255234232735</v>
      </c>
      <c r="R28" s="3">
        <f>Q28-BSM!$B$7*SQRT(O28)</f>
        <v>0.15877776535635046</v>
      </c>
      <c r="S28" s="3">
        <f>(BSM!$B$5*EXP(-BSM!$B$10*O28))*NORMSDIST(Q28)-BSM!$B$6*EXP(-BSM!$B$8*O28)*NORMSDIST(R28)</f>
        <v>1.9655913712891433</v>
      </c>
      <c r="T28" s="3">
        <f>S28-(BSM!$B$5*EXP(-BSM!$B$10*O28))+BSM!$B$6*EXP(-BSM!$B$8*O28)</f>
        <v>0.84046926965489988</v>
      </c>
    </row>
    <row r="29" spans="1:20" x14ac:dyDescent="0.2">
      <c r="A29" s="3">
        <f>A28+BSM!$B$5*2%</f>
        <v>11.399999999999995</v>
      </c>
      <c r="B29" s="3"/>
      <c r="C29" s="3">
        <f>(LN((A29*EXP(-BSM!$B$10*BSM!$B$9))/BSM!$B$6)+((BSM!$B$8+((BSM!$B$7)^2)/2)*BSM!$B$9)) / ((BSM!$B$7)*SQRT(BSM!$B$9))</f>
        <v>0.81644617965379696</v>
      </c>
      <c r="D29" s="3">
        <f>C29-BSM!$B$7*SQRT(BSM!$B$9)</f>
        <v>0.39218211094186844</v>
      </c>
      <c r="E29" s="3">
        <f>(A29*EXP(-BSM!$B$10*BSM!$B$9))*NORMSDIST(C29)-BSM!$B$6*EXP(-BSM!$B$8*BSM!$B$9)*NORMSDIST(D29)</f>
        <v>3.2822501034262395</v>
      </c>
      <c r="F29" s="3">
        <f>E29-(A29*EXP(-BSM!$B$10*BSM!$B$9))+BSM!$B$6*EXP(-BSM!$B$8*BSM!$B$9)</f>
        <v>0.70403816318704138</v>
      </c>
      <c r="G29" s="3"/>
      <c r="H29" s="38">
        <f t="shared" si="3"/>
        <v>0.34200000000000003</v>
      </c>
      <c r="I29" s="3"/>
      <c r="J29" s="3">
        <f>(LN((BSM!$B$5*EXP(-BSM!$B$10*BSM!$B$9))/BSM!$B$6)+((BSM!$B$8+((H29)^2)/2)*BSM!$B$9)) / ((H29)*SQRT(BSM!$B$9))</f>
        <v>0.50102136920875651</v>
      </c>
      <c r="K29" s="3">
        <f>J29-H29*SQRT(BSM!$B$9)</f>
        <v>1.7360330877157937E-2</v>
      </c>
      <c r="L29" s="3">
        <f>(BSM!$B$5*EXP(-BSM!$B$10*BSM!$B$9))*NORMSDIST(J29)-BSM!$B$6*EXP(-BSM!$B$8*BSM!$B$9)*NORMSDIST(K29)</f>
        <v>2.4462309448692849</v>
      </c>
      <c r="M29" s="3">
        <f>L29-(BSM!$B$5*EXP(-BSM!$B$10*BSM!$B$9))+BSM!$B$6*EXP(-BSM!$B$8*BSM!$B$9)</f>
        <v>1.2680190046300819</v>
      </c>
      <c r="N29" s="3"/>
      <c r="O29" s="36">
        <f t="shared" si="4"/>
        <v>1.2999999999999994</v>
      </c>
      <c r="P29" s="3"/>
      <c r="Q29" s="3">
        <f>(LN((BSM!$B$5*EXP(-BSM!$B$10*O29))/BSM!$B$6)+((BSM!$B$8+((BSM!$B$7)^2)/2)*O29)) / ((BSM!$B$7)*SQRT(O29))</f>
        <v>0.51705644518824345</v>
      </c>
      <c r="R29" s="3">
        <f>Q29-BSM!$B$7*SQRT(O29)</f>
        <v>0.1750038176585022</v>
      </c>
      <c r="S29" s="3">
        <f>(BSM!$B$5*EXP(-BSM!$B$10*O29))*NORMSDIST(Q29)-BSM!$B$6*EXP(-BSM!$B$8*O29)*NORMSDIST(R29)</f>
        <v>1.9154568805666514</v>
      </c>
      <c r="T29" s="3">
        <f>S29-(BSM!$B$5*EXP(-BSM!$B$10*O29))+BSM!$B$6*EXP(-BSM!$B$8*O29)</f>
        <v>0.79921409574923885</v>
      </c>
    </row>
    <row r="30" spans="1:20" x14ac:dyDescent="0.2">
      <c r="A30" s="3">
        <f>A29+BSM!$B$5*2%</f>
        <v>11.599999999999994</v>
      </c>
      <c r="B30" s="3"/>
      <c r="C30" s="3">
        <f>(LN((A30*EXP(-BSM!$B$10*BSM!$B$9))/BSM!$B$6)+((BSM!$B$8+((BSM!$B$7)^2)/2)*BSM!$B$9)) / ((BSM!$B$7)*SQRT(BSM!$B$9))</f>
        <v>0.85743891034784481</v>
      </c>
      <c r="D30" s="3">
        <f>C30-BSM!$B$7*SQRT(BSM!$B$9)</f>
        <v>0.4331748416359163</v>
      </c>
      <c r="E30" s="3">
        <f>(A30*EXP(-BSM!$B$10*BSM!$B$9))*NORMSDIST(C30)-BSM!$B$6*EXP(-BSM!$B$8*BSM!$B$9)*NORMSDIST(D30)</f>
        <v>3.4419876626663237</v>
      </c>
      <c r="F30" s="3">
        <f>E30-(A30*EXP(-BSM!$B$10*BSM!$B$9))+BSM!$B$6*EXP(-BSM!$B$8*BSM!$B$9)</f>
        <v>0.66377572242712723</v>
      </c>
      <c r="G30" s="3"/>
      <c r="H30" s="38">
        <f t="shared" si="3"/>
        <v>0.34800000000000003</v>
      </c>
      <c r="I30" s="3"/>
      <c r="J30" s="3">
        <f>(LN((BSM!$B$5*EXP(-BSM!$B$10*BSM!$B$9))/BSM!$B$6)+((BSM!$B$8+((H30)^2)/2)*BSM!$B$9)) / ((H30)*SQRT(BSM!$B$9))</f>
        <v>0.50079520213651441</v>
      </c>
      <c r="K30" s="3">
        <f>J30-H30*SQRT(BSM!$B$9)</f>
        <v>8.6488824306772405E-3</v>
      </c>
      <c r="L30" s="3">
        <f>(BSM!$B$5*EXP(-BSM!$B$10*BSM!$B$9))*NORMSDIST(J30)-BSM!$B$6*EXP(-BSM!$B$8*BSM!$B$9)*NORMSDIST(K30)</f>
        <v>2.4760912959820613</v>
      </c>
      <c r="M30" s="3">
        <f>L30-(BSM!$B$5*EXP(-BSM!$B$10*BSM!$B$9))+BSM!$B$6*EXP(-BSM!$B$8*BSM!$B$9)</f>
        <v>1.2978793557428583</v>
      </c>
      <c r="N30" s="3"/>
      <c r="O30" s="36">
        <f t="shared" si="4"/>
        <v>1.1999999999999993</v>
      </c>
      <c r="P30" s="3"/>
      <c r="Q30" s="3">
        <f>(LN((BSM!$B$5*EXP(-BSM!$B$10*O30))/BSM!$B$6)+((BSM!$B$8+((BSM!$B$7)^2)/2)*O30)) / ((BSM!$B$7)*SQRT(O30))</f>
        <v>0.52143344384171508</v>
      </c>
      <c r="R30" s="3">
        <f>Q30-BSM!$B$7*SQRT(O30)</f>
        <v>0.19279990933861552</v>
      </c>
      <c r="S30" s="3">
        <f>(BSM!$B$5*EXP(-BSM!$B$10*O30))*NORMSDIST(Q30)-BSM!$B$6*EXP(-BSM!$B$8*O30)*NORMSDIST(R30)</f>
        <v>1.8635799499103056</v>
      </c>
      <c r="T30" s="3">
        <f>S30-(BSM!$B$5*EXP(-BSM!$B$10*O30))+BSM!$B$6*EXP(-BSM!$B$8*O30)</f>
        <v>0.75622536566768161</v>
      </c>
    </row>
    <row r="31" spans="1:20" x14ac:dyDescent="0.2">
      <c r="A31" s="3">
        <f>A30+BSM!$B$5*2%</f>
        <v>11.799999999999994</v>
      </c>
      <c r="B31" s="3"/>
      <c r="C31" s="3">
        <f>(LN((A31*EXP(-BSM!$B$10*BSM!$B$9))/BSM!$B$6)+((BSM!$B$8+((BSM!$B$7)^2)/2)*BSM!$B$9)) / ((BSM!$B$7)*SQRT(BSM!$B$9))</f>
        <v>0.89773087617752012</v>
      </c>
      <c r="D31" s="3">
        <f>C31-BSM!$B$7*SQRT(BSM!$B$9)</f>
        <v>0.47346680746559161</v>
      </c>
      <c r="E31" s="3">
        <f>(A31*EXP(-BSM!$B$10*BSM!$B$9))*NORMSDIST(C31)-BSM!$B$6*EXP(-BSM!$B$8*BSM!$B$9)*NORMSDIST(D31)</f>
        <v>3.6039706529972113</v>
      </c>
      <c r="F31" s="3">
        <f>E31-(A31*EXP(-BSM!$B$10*BSM!$B$9))+BSM!$B$6*EXP(-BSM!$B$8*BSM!$B$9)</f>
        <v>0.62575871275801553</v>
      </c>
      <c r="G31" s="3"/>
      <c r="H31" s="38">
        <f t="shared" si="3"/>
        <v>0.35400000000000004</v>
      </c>
      <c r="I31" s="3"/>
      <c r="J31" s="3">
        <f>(LN((BSM!$B$5*EXP(-BSM!$B$10*BSM!$B$9))/BSM!$B$6)+((BSM!$B$8+((H31)^2)/2)*BSM!$B$9)) / ((H31)*SQRT(BSM!$B$9))</f>
        <v>0.50072052007306433</v>
      </c>
      <c r="K31" s="3">
        <f>J31-H31*SQRT(BSM!$B$9)</f>
        <v>8.8918992988573642E-5</v>
      </c>
      <c r="L31" s="3">
        <f>(BSM!$B$5*EXP(-BSM!$B$10*BSM!$B$9))*NORMSDIST(J31)-BSM!$B$6*EXP(-BSM!$B$8*BSM!$B$9)*NORMSDIST(K31)</f>
        <v>2.5059538870060862</v>
      </c>
      <c r="M31" s="3">
        <f>L31-(BSM!$B$5*EXP(-BSM!$B$10*BSM!$B$9))+BSM!$B$6*EXP(-BSM!$B$8*BSM!$B$9)</f>
        <v>1.3277419467668832</v>
      </c>
      <c r="N31" s="3"/>
      <c r="O31" s="36">
        <f t="shared" si="4"/>
        <v>1.0999999999999992</v>
      </c>
      <c r="P31" s="3"/>
      <c r="Q31" s="3">
        <f>(LN((BSM!$B$5*EXP(-BSM!$B$10*O31))/BSM!$B$6)+((BSM!$B$8+((BSM!$B$7)^2)/2)*O31)) / ((BSM!$B$7)*SQRT(O31))</f>
        <v>0.52713932237573413</v>
      </c>
      <c r="R31" s="3">
        <f>Q31-BSM!$B$7*SQRT(O31)</f>
        <v>0.2124966679246888</v>
      </c>
      <c r="S31" s="3">
        <f>(BSM!$B$5*EXP(-BSM!$B$10*O31))*NORMSDIST(Q31)-BSM!$B$6*EXP(-BSM!$B$8*O31)*NORMSDIST(R31)</f>
        <v>1.8097668682554691</v>
      </c>
      <c r="T31" s="3">
        <f>S31-(BSM!$B$5*EXP(-BSM!$B$10*O31))+BSM!$B$6*EXP(-BSM!$B$8*O31)</f>
        <v>0.71130937723378729</v>
      </c>
    </row>
    <row r="32" spans="1:20" x14ac:dyDescent="0.2">
      <c r="A32" s="3">
        <f>A31+BSM!$B$5*2%</f>
        <v>11.999999999999993</v>
      </c>
      <c r="B32" s="3"/>
      <c r="C32" s="3">
        <f>(LN((A32*EXP(-BSM!$B$10*BSM!$B$9))/BSM!$B$6)+((BSM!$B$8+((BSM!$B$7)^2)/2)*BSM!$B$9)) / ((BSM!$B$7)*SQRT(BSM!$B$9))</f>
        <v>0.93734563395657922</v>
      </c>
      <c r="D32" s="3">
        <f>C32-BSM!$B$7*SQRT(BSM!$B$9)</f>
        <v>0.51308156524465076</v>
      </c>
      <c r="E32" s="3">
        <f>(A32*EXP(-BSM!$B$10*BSM!$B$9))*NORMSDIST(C32)-BSM!$B$6*EXP(-BSM!$B$8*BSM!$B$9)*NORMSDIST(D32)</f>
        <v>3.7680843510997635</v>
      </c>
      <c r="F32" s="3">
        <f>E32-(A32*EXP(-BSM!$B$10*BSM!$B$9))+BSM!$B$6*EXP(-BSM!$B$8*BSM!$B$9)</f>
        <v>0.58987241086056663</v>
      </c>
      <c r="G32" s="3"/>
      <c r="H32" s="38">
        <f t="shared" si="3"/>
        <v>0.36000000000000004</v>
      </c>
      <c r="I32" s="3"/>
      <c r="J32" s="3">
        <f>(LN((BSM!$B$5*EXP(-BSM!$B$10*BSM!$B$9))/BSM!$B$6)+((BSM!$B$8+((H32)^2)/2)*BSM!$B$9)) / ((H32)*SQRT(BSM!$B$9))</f>
        <v>0.50078974876796645</v>
      </c>
      <c r="K32" s="3">
        <f>J32-H32*SQRT(BSM!$B$9)</f>
        <v>-8.327133686347854E-3</v>
      </c>
      <c r="L32" s="3">
        <f>(BSM!$B$5*EXP(-BSM!$B$10*BSM!$B$9))*NORMSDIST(J32)-BSM!$B$6*EXP(-BSM!$B$8*BSM!$B$9)*NORMSDIST(K32)</f>
        <v>2.5358165096850023</v>
      </c>
      <c r="M32" s="3">
        <f>L32-(BSM!$B$5*EXP(-BSM!$B$10*BSM!$B$9))+BSM!$B$6*EXP(-BSM!$B$8*BSM!$B$9)</f>
        <v>1.3576045694457992</v>
      </c>
      <c r="N32" s="3"/>
      <c r="O32" s="36">
        <f t="shared" si="4"/>
        <v>0.99999999999999922</v>
      </c>
      <c r="P32" s="3"/>
      <c r="Q32" s="3">
        <f>(LN((BSM!$B$5*EXP(-BSM!$B$10*O32))/BSM!$B$6)+((BSM!$B$8+((BSM!$B$7)^2)/2)*O32)) / ((BSM!$B$7)*SQRT(O32))</f>
        <v>0.53453505219275455</v>
      </c>
      <c r="R32" s="3">
        <f>Q32-BSM!$B$7*SQRT(O32)</f>
        <v>0.23453505219275467</v>
      </c>
      <c r="S32" s="3">
        <f>(BSM!$B$5*EXP(-BSM!$B$10*O32))*NORMSDIST(Q32)-BSM!$B$6*EXP(-BSM!$B$8*O32)*NORMSDIST(R32)</f>
        <v>1.7537848162921419</v>
      </c>
      <c r="T32" s="3">
        <f>S32-(BSM!$B$5*EXP(-BSM!$B$10*O32))+BSM!$B$6*EXP(-BSM!$B$8*O32)</f>
        <v>0.66423332003465596</v>
      </c>
    </row>
    <row r="33" spans="1:20" x14ac:dyDescent="0.2">
      <c r="A33" s="3">
        <f>A32+BSM!$B$5*2%</f>
        <v>12.199999999999992</v>
      </c>
      <c r="B33" s="3"/>
      <c r="C33" s="3">
        <f>(LN((A33*EXP(-BSM!$B$10*BSM!$B$9))/BSM!$B$6)+((BSM!$B$8+((BSM!$B$7)^2)/2)*BSM!$B$9)) / ((BSM!$B$7)*SQRT(BSM!$B$9))</f>
        <v>0.9763055722831826</v>
      </c>
      <c r="D33" s="3">
        <f>C33-BSM!$B$7*SQRT(BSM!$B$9)</f>
        <v>0.55204150357125403</v>
      </c>
      <c r="E33" s="3">
        <f>(A33*EXP(-BSM!$B$10*BSM!$B$9))*NORMSDIST(C33)-BSM!$B$6*EXP(-BSM!$B$8*BSM!$B$9)*NORMSDIST(D33)</f>
        <v>3.9342184766979962</v>
      </c>
      <c r="F33" s="3">
        <f>E33-(A33*EXP(-BSM!$B$10*BSM!$B$9))+BSM!$B$6*EXP(-BSM!$B$8*BSM!$B$9)</f>
        <v>0.55600653645880094</v>
      </c>
      <c r="G33" s="3"/>
      <c r="H33" s="38">
        <f t="shared" si="3"/>
        <v>0.36600000000000005</v>
      </c>
      <c r="I33" s="3"/>
      <c r="J33" s="3">
        <f>(LN((BSM!$B$5*EXP(-BSM!$B$10*BSM!$B$9))/BSM!$B$6)+((BSM!$B$8+((H33)^2)/2)*BSM!$B$9)) / ((H33)*SQRT(BSM!$B$9))</f>
        <v>0.50099581064294141</v>
      </c>
      <c r="K33" s="3">
        <f>J33-H33*SQRT(BSM!$B$9)</f>
        <v>-1.6606353185611433E-2</v>
      </c>
      <c r="L33" s="3">
        <f>(BSM!$B$5*EXP(-BSM!$B$10*BSM!$B$9))*NORMSDIST(J33)-BSM!$B$6*EXP(-BSM!$B$8*BSM!$B$9)*NORMSDIST(K33)</f>
        <v>2.565677065308261</v>
      </c>
      <c r="M33" s="3">
        <f>L33-(BSM!$B$5*EXP(-BSM!$B$10*BSM!$B$9))+BSM!$B$6*EXP(-BSM!$B$8*BSM!$B$9)</f>
        <v>1.3874651250690579</v>
      </c>
      <c r="N33" s="3"/>
      <c r="O33" s="36">
        <f t="shared" si="4"/>
        <v>0.89999999999999925</v>
      </c>
      <c r="P33" s="3"/>
      <c r="Q33" s="3">
        <f>(LN((BSM!$B$5*EXP(-BSM!$B$10*O33))/BSM!$B$6)+((BSM!$B$8+((BSM!$B$7)^2)/2)*O33)) / ((BSM!$B$7)*SQRT(O33))</f>
        <v>0.54412438789655548</v>
      </c>
      <c r="R33" s="3">
        <f>Q33-BSM!$B$7*SQRT(O33)</f>
        <v>0.25951939848140149</v>
      </c>
      <c r="S33" s="3">
        <f>(BSM!$B$5*EXP(-BSM!$B$10*O33))*NORMSDIST(Q33)-BSM!$B$6*EXP(-BSM!$B$8*O33)*NORMSDIST(R33)</f>
        <v>1.6953500205225938</v>
      </c>
      <c r="T33" s="3">
        <f>S33-(BSM!$B$5*EXP(-BSM!$B$10*O33))+BSM!$B$6*EXP(-BSM!$B$8*O33)</f>
        <v>0.61471342947854524</v>
      </c>
    </row>
    <row r="34" spans="1:20" x14ac:dyDescent="0.2">
      <c r="A34" s="3">
        <f>A33+BSM!$B$5*2%</f>
        <v>12.399999999999991</v>
      </c>
      <c r="B34" s="3"/>
      <c r="C34" s="3">
        <f>(LN((A34*EXP(-BSM!$B$10*BSM!$B$9))/BSM!$B$6)+((BSM!$B$8+((BSM!$B$7)^2)/2)*BSM!$B$9)) / ((BSM!$B$7)*SQRT(BSM!$B$9))</f>
        <v>1.0146319875300533</v>
      </c>
      <c r="D34" s="3">
        <f>C34-BSM!$B$7*SQRT(BSM!$B$9)</f>
        <v>0.59036791881812478</v>
      </c>
      <c r="E34" s="3">
        <f>(A34*EXP(-BSM!$B$10*BSM!$B$9))*NORMSDIST(C34)-BSM!$B$6*EXP(-BSM!$B$8*BSM!$B$9)*NORMSDIST(D34)</f>
        <v>4.1022672074463804</v>
      </c>
      <c r="F34" s="3">
        <f>E34-(A34*EXP(-BSM!$B$10*BSM!$B$9))+BSM!$B$6*EXP(-BSM!$B$8*BSM!$B$9)</f>
        <v>0.52405526720718676</v>
      </c>
      <c r="G34" s="3"/>
      <c r="H34" s="38">
        <f t="shared" si="3"/>
        <v>0.37200000000000005</v>
      </c>
      <c r="I34" s="3"/>
      <c r="J34" s="3">
        <f>(LN((BSM!$B$5*EXP(-BSM!$B$10*BSM!$B$9))/BSM!$B$6)+((BSM!$B$8+((H34)^2)/2)*BSM!$B$9)) / ((H34)*SQRT(BSM!$B$9))</f>
        <v>0.50133208473766278</v>
      </c>
      <c r="K34" s="3">
        <f>J34-H34*SQRT(BSM!$B$9)</f>
        <v>-2.4755360465128717E-2</v>
      </c>
      <c r="L34" s="3">
        <f>(BSM!$B$5*EXP(-BSM!$B$10*BSM!$B$9))*NORMSDIST(J34)-BSM!$B$6*EXP(-BSM!$B$8*BSM!$B$9)*NORMSDIST(K34)</f>
        <v>2.5955335563054787</v>
      </c>
      <c r="M34" s="3">
        <f>L34-(BSM!$B$5*EXP(-BSM!$B$10*BSM!$B$9))+BSM!$B$6*EXP(-BSM!$B$8*BSM!$B$9)</f>
        <v>1.4173216160662756</v>
      </c>
      <c r="N34" s="3"/>
      <c r="O34" s="36">
        <f t="shared" si="4"/>
        <v>0.79999999999999927</v>
      </c>
      <c r="P34" s="3"/>
      <c r="Q34" s="3">
        <f>(LN((BSM!$B$5*EXP(-BSM!$B$10*O34))/BSM!$B$6)+((BSM!$B$8+((BSM!$B$7)^2)/2)*O34)) / ((BSM!$B$7)*SQRT(O34))</f>
        <v>0.55663377694220251</v>
      </c>
      <c r="R34" s="3">
        <f>Q34-BSM!$B$7*SQRT(O34)</f>
        <v>0.28830561964222784</v>
      </c>
      <c r="S34" s="3">
        <f>(BSM!$B$5*EXP(-BSM!$B$10*O34))*NORMSDIST(Q34)-BSM!$B$6*EXP(-BSM!$B$8*O34)*NORMSDIST(R34)</f>
        <v>1.6341110074747105</v>
      </c>
      <c r="T34" s="3">
        <f>S34-(BSM!$B$5*EXP(-BSM!$B$10*O34))+BSM!$B$6*EXP(-BSM!$B$8*O34)</f>
        <v>0.56239824100825686</v>
      </c>
    </row>
    <row r="35" spans="1:20" x14ac:dyDescent="0.2">
      <c r="A35" s="3">
        <f>A34+BSM!$B$5*2%</f>
        <v>12.599999999999991</v>
      </c>
      <c r="B35" s="3"/>
      <c r="C35" s="3">
        <f>(LN((A35*EXP(-BSM!$B$10*BSM!$B$9))/BSM!$B$6)+((BSM!$B$8+((BSM!$B$7)^2)/2)*BSM!$B$9)) / ((BSM!$B$7)*SQRT(BSM!$B$9))</f>
        <v>1.0523451537546133</v>
      </c>
      <c r="D35" s="3">
        <f>C35-BSM!$B$7*SQRT(BSM!$B$9)</f>
        <v>0.62808108504268478</v>
      </c>
      <c r="E35" s="3">
        <f>(A35*EXP(-BSM!$B$10*BSM!$B$9))*NORMSDIST(C35)-BSM!$B$6*EXP(-BSM!$B$8*BSM!$B$9)*NORMSDIST(D35)</f>
        <v>4.2721291631743874</v>
      </c>
      <c r="F35" s="3">
        <f>E35-(A35*EXP(-BSM!$B$10*BSM!$B$9))+BSM!$B$6*EXP(-BSM!$B$8*BSM!$B$9)</f>
        <v>0.49391722293519358</v>
      </c>
      <c r="G35" s="3"/>
      <c r="H35" s="38">
        <f t="shared" si="3"/>
        <v>0.37800000000000006</v>
      </c>
      <c r="I35" s="3"/>
      <c r="J35" s="3">
        <f>(LN((BSM!$B$5*EXP(-BSM!$B$10*BSM!$B$9))/BSM!$B$6)+((BSM!$B$8+((H35)^2)/2)*BSM!$B$9)) / ((H35)*SQRT(BSM!$B$9))</f>
        <v>0.50179237047023817</v>
      </c>
      <c r="K35" s="3">
        <f>J35-H35*SQRT(BSM!$B$9)</f>
        <v>-3.2780356106791864E-2</v>
      </c>
      <c r="L35" s="3">
        <f>(BSM!$B$5*EXP(-BSM!$B$10*BSM!$B$9))*NORMSDIST(J35)-BSM!$B$6*EXP(-BSM!$B$8*BSM!$B$9)*NORMSDIST(K35)</f>
        <v>2.6253840786155811</v>
      </c>
      <c r="M35" s="3">
        <f>L35-(BSM!$B$5*EXP(-BSM!$B$10*BSM!$B$9))+BSM!$B$6*EXP(-BSM!$B$8*BSM!$B$9)</f>
        <v>1.447172138376378</v>
      </c>
      <c r="N35" s="3"/>
      <c r="O35" s="36">
        <f t="shared" si="4"/>
        <v>0.69999999999999929</v>
      </c>
      <c r="P35" s="3"/>
      <c r="Q35" s="3">
        <f>(LN((BSM!$B$5*EXP(-BSM!$B$10*O35))/BSM!$B$6)+((BSM!$B$8+((BSM!$B$7)^2)/2)*O35)) / ((BSM!$B$7)*SQRT(O35))</f>
        <v>0.57315401355944195</v>
      </c>
      <c r="R35" s="3">
        <f>Q35-BSM!$B$7*SQRT(O35)</f>
        <v>0.32215600559921942</v>
      </c>
      <c r="S35" s="3">
        <f>(BSM!$B$5*EXP(-BSM!$B$10*O35))*NORMSDIST(Q35)-BSM!$B$6*EXP(-BSM!$B$8*O35)*NORMSDIST(R35)</f>
        <v>1.5696243902792659</v>
      </c>
      <c r="T35" s="3">
        <f>S35-(BSM!$B$5*EXP(-BSM!$B$10*O35))+BSM!$B$6*EXP(-BSM!$B$8*O35)</f>
        <v>0.50684437667838189</v>
      </c>
    </row>
    <row r="36" spans="1:20" x14ac:dyDescent="0.2">
      <c r="A36" s="3">
        <f>A35+BSM!$B$5*2%</f>
        <v>12.79999999999999</v>
      </c>
      <c r="B36" s="3"/>
      <c r="C36" s="3">
        <f>(LN((A36*EXP(-BSM!$B$10*BSM!$B$9))/BSM!$B$6)+((BSM!$B$8+((BSM!$B$7)^2)/2)*BSM!$B$9)) / ((BSM!$B$7)*SQRT(BSM!$B$9))</f>
        <v>1.089464387103672</v>
      </c>
      <c r="D36" s="3">
        <f>C36-BSM!$B$7*SQRT(BSM!$B$9)</f>
        <v>0.66520031839174343</v>
      </c>
      <c r="E36" s="3">
        <f>(A36*EXP(-BSM!$B$10*BSM!$B$9))*NORMSDIST(C36)-BSM!$B$6*EXP(-BSM!$B$8*BSM!$B$9)*NORMSDIST(D36)</f>
        <v>4.4437073640783753</v>
      </c>
      <c r="F36" s="3">
        <f>E36-(A36*EXP(-BSM!$B$10*BSM!$B$9))+BSM!$B$6*EXP(-BSM!$B$8*BSM!$B$9)</f>
        <v>0.4654954238391813</v>
      </c>
      <c r="G36" s="3"/>
      <c r="H36" s="38">
        <f t="shared" si="3"/>
        <v>0.38400000000000006</v>
      </c>
      <c r="I36" s="3"/>
      <c r="J36" s="3">
        <f>(LN((BSM!$B$5*EXP(-BSM!$B$10*BSM!$B$9))/BSM!$B$6)+((BSM!$B$8+((H36)^2)/2)*BSM!$B$9)) / ((H36)*SQRT(BSM!$B$9))</f>
        <v>0.5023708547951431</v>
      </c>
      <c r="K36" s="3">
        <f>J36-H36*SQRT(BSM!$B$9)</f>
        <v>-4.0687153156125477E-2</v>
      </c>
      <c r="L36" s="3">
        <f>(BSM!$B$5*EXP(-BSM!$B$10*BSM!$B$9))*NORMSDIST(J36)-BSM!$B$6*EXP(-BSM!$B$8*BSM!$B$9)*NORMSDIST(K36)</f>
        <v>2.6552268147493763</v>
      </c>
      <c r="M36" s="3">
        <f>L36-(BSM!$B$5*EXP(-BSM!$B$10*BSM!$B$9))+BSM!$B$6*EXP(-BSM!$B$8*BSM!$B$9)</f>
        <v>1.4770148745101732</v>
      </c>
      <c r="N36" s="3"/>
      <c r="O36" s="36">
        <f t="shared" si="4"/>
        <v>0.59999999999999931</v>
      </c>
      <c r="P36" s="3"/>
      <c r="Q36" s="3">
        <f>(LN((BSM!$B$5*EXP(-BSM!$B$10*O36))/BSM!$B$6)+((BSM!$B$8+((BSM!$B$7)^2)/2)*O36)) / ((BSM!$B$7)*SQRT(O36))</f>
        <v>0.59540885879492456</v>
      </c>
      <c r="R36" s="3">
        <f>Q36-BSM!$B$7*SQRT(O36)</f>
        <v>0.36302985802247967</v>
      </c>
      <c r="S36" s="3">
        <f>(BSM!$B$5*EXP(-BSM!$B$10*O36))*NORMSDIST(Q36)-BSM!$B$6*EXP(-BSM!$B$8*O36)*NORMSDIST(R36)</f>
        <v>1.5013191052204595</v>
      </c>
      <c r="T36" s="3">
        <f>S36-(BSM!$B$5*EXP(-BSM!$B$10*O36))+BSM!$B$6*EXP(-BSM!$B$8*O36)</f>
        <v>0.44748078170587746</v>
      </c>
    </row>
    <row r="37" spans="1:20" x14ac:dyDescent="0.2">
      <c r="A37" s="3">
        <f>A36+BSM!$B$5*2%</f>
        <v>12.999999999999989</v>
      </c>
      <c r="B37" s="3"/>
      <c r="C37" s="3">
        <f>(LN((A37*EXP(-BSM!$B$10*BSM!$B$9))/BSM!$B$6)+((BSM!$B$8+((BSM!$B$7)^2)/2)*BSM!$B$9)) / ((BSM!$B$7)*SQRT(BSM!$B$9))</f>
        <v>1.1260081052248792</v>
      </c>
      <c r="D37" s="3">
        <f>C37-BSM!$B$7*SQRT(BSM!$B$9)</f>
        <v>0.70174403651295059</v>
      </c>
      <c r="E37" s="3">
        <f>(A37*EXP(-BSM!$B$10*BSM!$B$9))*NORMSDIST(C37)-BSM!$B$6*EXP(-BSM!$B$8*BSM!$B$9)*NORMSDIST(D37)</f>
        <v>4.6169091669855344</v>
      </c>
      <c r="F37" s="3">
        <f>E37-(A37*EXP(-BSM!$B$10*BSM!$B$9))+BSM!$B$6*EXP(-BSM!$B$8*BSM!$B$9)</f>
        <v>0.43869722674634204</v>
      </c>
      <c r="G37" s="3"/>
      <c r="H37" s="38">
        <f t="shared" si="3"/>
        <v>0.39000000000000007</v>
      </c>
      <c r="I37" s="3"/>
      <c r="J37" s="3">
        <f>(LN((BSM!$B$5*EXP(-BSM!$B$10*BSM!$B$9))/BSM!$B$6)+((BSM!$B$8+((H37)^2)/2)*BSM!$B$9)) / ((H37)*SQRT(BSM!$B$9))</f>
        <v>0.50306208239273131</v>
      </c>
      <c r="K37" s="3">
        <f>J37-H37*SQRT(BSM!$B$9)</f>
        <v>-4.8481206932775911E-2</v>
      </c>
      <c r="L37" s="3">
        <f>(BSM!$B$5*EXP(-BSM!$B$10*BSM!$B$9))*NORMSDIST(J37)-BSM!$B$6*EXP(-BSM!$B$8*BSM!$B$9)*NORMSDIST(K37)</f>
        <v>2.6850600274736722</v>
      </c>
      <c r="M37" s="3">
        <f>L37-(BSM!$B$5*EXP(-BSM!$B$10*BSM!$B$9))+BSM!$B$6*EXP(-BSM!$B$8*BSM!$B$9)</f>
        <v>1.5068480872344692</v>
      </c>
      <c r="N37" s="3"/>
      <c r="O37" s="36">
        <f t="shared" si="4"/>
        <v>0.49999999999999933</v>
      </c>
      <c r="P37" s="3"/>
      <c r="Q37" s="3">
        <f>(LN((BSM!$B$5*EXP(-BSM!$B$10*O37))/BSM!$B$6)+((BSM!$B$8+((BSM!$B$7)^2)/2)*O37)) / ((BSM!$B$7)*SQRT(O37))</f>
        <v>0.62631047715727017</v>
      </c>
      <c r="R37" s="3">
        <f>Q37-BSM!$B$7*SQRT(O37)</f>
        <v>0.41417844280130611</v>
      </c>
      <c r="S37" s="3">
        <f>(BSM!$B$5*EXP(-BSM!$B$10*O37))*NORMSDIST(Q37)-BSM!$B$6*EXP(-BSM!$B$8*O37)*NORMSDIST(R37)</f>
        <v>1.4284429245420682</v>
      </c>
      <c r="T37" s="3">
        <f>S37-(BSM!$B$5*EXP(-BSM!$B$10*O37))+BSM!$B$6*EXP(-BSM!$B$8*O37)</f>
        <v>0.38355523727620877</v>
      </c>
    </row>
    <row r="38" spans="1:20" x14ac:dyDescent="0.2">
      <c r="A38" s="3">
        <f>A37+BSM!$B$5*2%</f>
        <v>13.199999999999989</v>
      </c>
      <c r="B38" s="3"/>
      <c r="C38" s="3">
        <f>(LN((A38*EXP(-BSM!$B$10*BSM!$B$9))/BSM!$B$6)+((BSM!$B$8+((BSM!$B$7)^2)/2)*BSM!$B$9)) / ((BSM!$B$7)*SQRT(BSM!$B$9))</f>
        <v>1.1619938821424027</v>
      </c>
      <c r="D38" s="3">
        <f>C38-BSM!$B$7*SQRT(BSM!$B$9)</f>
        <v>0.73772981343047417</v>
      </c>
      <c r="E38" s="3">
        <f>(A38*EXP(-BSM!$B$10*BSM!$B$9))*NORMSDIST(C38)-BSM!$B$6*EXP(-BSM!$B$8*BSM!$B$9)*NORMSDIST(D38)</f>
        <v>4.7916461833777664</v>
      </c>
      <c r="F38" s="3">
        <f>E38-(A38*EXP(-BSM!$B$10*BSM!$B$9))+BSM!$B$6*EXP(-BSM!$B$8*BSM!$B$9)</f>
        <v>0.41343424313857469</v>
      </c>
      <c r="G38" s="3"/>
      <c r="H38" s="38">
        <f t="shared" si="3"/>
        <v>0.39600000000000007</v>
      </c>
      <c r="I38" s="3"/>
      <c r="J38" s="3">
        <f>(LN((BSM!$B$5*EXP(-BSM!$B$10*BSM!$B$9))/BSM!$B$6)+((BSM!$B$8+((H38)^2)/2)*BSM!$B$9)) / ((H38)*SQRT(BSM!$B$9))</f>
        <v>0.5038609285687905</v>
      </c>
      <c r="K38" s="3">
        <f>J38-H38*SQRT(BSM!$B$9)</f>
        <v>-5.6167642130955264E-2</v>
      </c>
      <c r="L38" s="3">
        <f>(BSM!$B$5*EXP(-BSM!$B$10*BSM!$B$9))*NORMSDIST(J38)-BSM!$B$6*EXP(-BSM!$B$8*BSM!$B$9)*NORMSDIST(K38)</f>
        <v>2.7148820540534944</v>
      </c>
      <c r="M38" s="3">
        <f>L38-(BSM!$B$5*EXP(-BSM!$B$10*BSM!$B$9))+BSM!$B$6*EXP(-BSM!$B$8*BSM!$B$9)</f>
        <v>1.5366701138142913</v>
      </c>
      <c r="N38" s="3"/>
      <c r="O38" s="36">
        <f t="shared" si="4"/>
        <v>0.39999999999999936</v>
      </c>
      <c r="P38" s="3"/>
      <c r="Q38" s="3">
        <f>(LN((BSM!$B$5*EXP(-BSM!$B$10*O38))/BSM!$B$6)+((BSM!$B$8+((BSM!$B$7)^2)/2)*O38)) / ((BSM!$B$7)*SQRT(O38))</f>
        <v>0.67124885575378257</v>
      </c>
      <c r="R38" s="3">
        <f>Q38-BSM!$B$7*SQRT(O38)</f>
        <v>0.48151219614368002</v>
      </c>
      <c r="S38" s="3">
        <f>(BSM!$B$5*EXP(-BSM!$B$10*O38))*NORMSDIST(Q38)-BSM!$B$6*EXP(-BSM!$B$8*O38)*NORMSDIST(R38)</f>
        <v>1.3499842680614753</v>
      </c>
      <c r="T38" s="3">
        <f>S38-(BSM!$B$5*EXP(-BSM!$B$10*O38))+BSM!$B$6*EXP(-BSM!$B$8*O38)</f>
        <v>0.31405617215740023</v>
      </c>
    </row>
    <row r="39" spans="1:20" x14ac:dyDescent="0.2">
      <c r="A39" s="3">
        <f>A38+BSM!$B$5*2%</f>
        <v>13.399999999999988</v>
      </c>
      <c r="B39" s="3"/>
      <c r="C39" s="3">
        <f>(LN((A39*EXP(-BSM!$B$10*BSM!$B$9))/BSM!$B$6)+((BSM!$B$8+((BSM!$B$7)^2)/2)*BSM!$B$9)) / ((BSM!$B$7)*SQRT(BSM!$B$9))</f>
        <v>1.1974384990061304</v>
      </c>
      <c r="D39" s="3">
        <f>C39-BSM!$B$7*SQRT(BSM!$B$9)</f>
        <v>0.77317443029420185</v>
      </c>
      <c r="E39" s="3">
        <f>(A39*EXP(-BSM!$B$10*BSM!$B$9))*NORMSDIST(C39)-BSM!$B$6*EXP(-BSM!$B$8*BSM!$B$9)*NORMSDIST(D39)</f>
        <v>4.9678341824565146</v>
      </c>
      <c r="F39" s="3">
        <f>E39-(A39*EXP(-BSM!$B$10*BSM!$B$9))+BSM!$B$6*EXP(-BSM!$B$8*BSM!$B$9)</f>
        <v>0.38962224221732278</v>
      </c>
      <c r="G39" s="3"/>
      <c r="H39" s="38">
        <f t="shared" si="3"/>
        <v>0.40200000000000008</v>
      </c>
      <c r="I39" s="3"/>
      <c r="J39" s="3">
        <f>(LN((BSM!$B$5*EXP(-BSM!$B$10*BSM!$B$9))/BSM!$B$6)+((BSM!$B$8+((H39)^2)/2)*BSM!$B$9)) / ((H39)*SQRT(BSM!$B$9))</f>
        <v>0.50476257458100038</v>
      </c>
      <c r="K39" s="3">
        <f>J39-H39*SQRT(BSM!$B$9)</f>
        <v>-6.3751277492984038E-2</v>
      </c>
      <c r="L39" s="3">
        <f>(BSM!$B$5*EXP(-BSM!$B$10*BSM!$B$9))*NORMSDIST(J39)-BSM!$B$6*EXP(-BSM!$B$8*BSM!$B$9)*NORMSDIST(K39)</f>
        <v>2.744691300996168</v>
      </c>
      <c r="M39" s="3">
        <f>L39-(BSM!$B$5*EXP(-BSM!$B$10*BSM!$B$9))+BSM!$B$6*EXP(-BSM!$B$8*BSM!$B$9)</f>
        <v>1.5664793607569649</v>
      </c>
      <c r="N39" s="3"/>
      <c r="O39" s="36">
        <f t="shared" si="4"/>
        <v>0.29999999999999938</v>
      </c>
      <c r="P39" s="3"/>
      <c r="Q39" s="3">
        <f>(LN((BSM!$B$5*EXP(-BSM!$B$10*O39))/BSM!$B$6)+((BSM!$B$8+((BSM!$B$7)^2)/2)*O39)) / ((BSM!$B$7)*SQRT(O39))</f>
        <v>0.7416194810555895</v>
      </c>
      <c r="R39" s="3">
        <f>Q39-BSM!$B$7*SQRT(O39)</f>
        <v>0.57730271380403986</v>
      </c>
      <c r="S39" s="3">
        <f>(BSM!$B$5*EXP(-BSM!$B$10*O39))*NORMSDIST(Q39)-BSM!$B$6*EXP(-BSM!$B$8*O39)*NORMSDIST(R39)</f>
        <v>1.2645783510669073</v>
      </c>
      <c r="T39" s="3">
        <f>S39-(BSM!$B$5*EXP(-BSM!$B$10*O39))+BSM!$B$6*EXP(-BSM!$B$8*O39)</f>
        <v>0.23761881059726342</v>
      </c>
    </row>
    <row r="40" spans="1:20" x14ac:dyDescent="0.2">
      <c r="A40" s="3">
        <f>A39+BSM!$B$5*2%</f>
        <v>13.599999999999987</v>
      </c>
      <c r="B40" s="3"/>
      <c r="C40" s="3">
        <f>(LN((A40*EXP(-BSM!$B$10*BSM!$B$9))/BSM!$B$6)+((BSM!$B$8+((BSM!$B$7)^2)/2)*BSM!$B$9)) / ((BSM!$B$7)*SQRT(BSM!$B$9))</f>
        <v>1.2323579910812417</v>
      </c>
      <c r="D40" s="3">
        <f>C40-BSM!$B$7*SQRT(BSM!$B$9)</f>
        <v>0.8080939223693131</v>
      </c>
      <c r="E40" s="3">
        <f>(A40*EXP(-BSM!$B$10*BSM!$B$9))*NORMSDIST(C40)-BSM!$B$6*EXP(-BSM!$B$8*BSM!$B$9)*NORMSDIST(D40)</f>
        <v>5.1453929821533757</v>
      </c>
      <c r="F40" s="3">
        <f>E40-(A40*EXP(-BSM!$B$10*BSM!$B$9))+BSM!$B$6*EXP(-BSM!$B$8*BSM!$B$9)</f>
        <v>0.36718104191418455</v>
      </c>
      <c r="G40" s="3"/>
      <c r="H40" s="38">
        <f t="shared" si="3"/>
        <v>0.40800000000000008</v>
      </c>
      <c r="I40" s="3"/>
      <c r="J40" s="3">
        <f>(LN((BSM!$B$5*EXP(-BSM!$B$10*BSM!$B$9))/BSM!$B$6)+((BSM!$B$8+((H40)^2)/2)*BSM!$B$9)) / ((H40)*SQRT(BSM!$B$9))</f>
        <v>0.50576248514247257</v>
      </c>
      <c r="K40" s="3">
        <f>J40-H40*SQRT(BSM!$B$9)</f>
        <v>-7.1236648305750383E-2</v>
      </c>
      <c r="L40" s="3">
        <f>(BSM!$B$5*EXP(-BSM!$B$10*BSM!$B$9))*NORMSDIST(J40)-BSM!$B$6*EXP(-BSM!$B$8*BSM!$B$9)*NORMSDIST(K40)</f>
        <v>2.7744862392473619</v>
      </c>
      <c r="M40" s="3">
        <f>L40-(BSM!$B$5*EXP(-BSM!$B$10*BSM!$B$9))+BSM!$B$6*EXP(-BSM!$B$8*BSM!$B$9)</f>
        <v>1.5962742990081589</v>
      </c>
      <c r="N40" s="3"/>
      <c r="O40" s="36">
        <f t="shared" si="4"/>
        <v>0.19999999999999937</v>
      </c>
      <c r="P40" s="3"/>
      <c r="Q40" s="3">
        <f>(LN((BSM!$B$5*EXP(-BSM!$B$10*O40))/BSM!$B$6)+((BSM!$B$8+((BSM!$B$7)^2)/2)*O40)) / ((BSM!$B$7)*SQRT(O40))</f>
        <v>0.86730007635942907</v>
      </c>
      <c r="R40" s="3">
        <f>Q40-BSM!$B$7*SQRT(O40)</f>
        <v>0.73313599770944193</v>
      </c>
      <c r="S40" s="3">
        <f>(BSM!$B$5*EXP(-BSM!$B$10*O40))*NORMSDIST(Q40)-BSM!$B$6*EXP(-BSM!$B$8*O40)*NORMSDIST(R40)</f>
        <v>1.170566516037276</v>
      </c>
      <c r="T40" s="3">
        <f>S40-(BSM!$B$5*EXP(-BSM!$B$10*O40))+BSM!$B$6*EXP(-BSM!$B$8*O40)</f>
        <v>0.15258450404327384</v>
      </c>
    </row>
    <row r="41" spans="1:20" x14ac:dyDescent="0.2">
      <c r="A41" s="3">
        <f>A40+BSM!$B$5*2%</f>
        <v>13.799999999999986</v>
      </c>
      <c r="B41" s="3"/>
      <c r="C41" s="3">
        <f>(LN((A41*EXP(-BSM!$B$10*BSM!$B$9))/BSM!$B$6)+((BSM!$B$8+((BSM!$B$7)^2)/2)*BSM!$B$9)) / ((BSM!$B$7)*SQRT(BSM!$B$9))</f>
        <v>1.2667676913075059</v>
      </c>
      <c r="D41" s="3">
        <f>C41-BSM!$B$7*SQRT(BSM!$B$9)</f>
        <v>0.84250362259557732</v>
      </c>
      <c r="E41" s="3">
        <f>(A41*EXP(-BSM!$B$10*BSM!$B$9))*NORMSDIST(C41)-BSM!$B$6*EXP(-BSM!$B$8*BSM!$B$9)*NORMSDIST(D41)</f>
        <v>5.3242463306457832</v>
      </c>
      <c r="F41" s="3">
        <f>E41-(A41*EXP(-BSM!$B$10*BSM!$B$9))+BSM!$B$6*EXP(-BSM!$B$8*BSM!$B$9)</f>
        <v>0.34603439040659367</v>
      </c>
      <c r="G41" s="3"/>
      <c r="H41" s="38">
        <f t="shared" si="3"/>
        <v>0.41400000000000009</v>
      </c>
      <c r="I41" s="3"/>
      <c r="J41" s="3">
        <f>(LN((BSM!$B$5*EXP(-BSM!$B$10*BSM!$B$9))/BSM!$B$6)+((BSM!$B$8+((H41)^2)/2)*BSM!$B$9)) / ((H41)*SQRT(BSM!$B$9))</f>
        <v>0.50685638788149967</v>
      </c>
      <c r="K41" s="3">
        <f>J41-H41*SQRT(BSM!$B$9)</f>
        <v>-7.8628026940961826E-2</v>
      </c>
      <c r="L41" s="3">
        <f>(BSM!$B$5*EXP(-BSM!$B$10*BSM!$B$9))*NORMSDIST(J41)-BSM!$B$6*EXP(-BSM!$B$8*BSM!$B$9)*NORMSDIST(K41)</f>
        <v>2.8042653997947964</v>
      </c>
      <c r="M41" s="3">
        <f>L41-(BSM!$B$5*EXP(-BSM!$B$10*BSM!$B$9))+BSM!$B$6*EXP(-BSM!$B$8*BSM!$B$9)</f>
        <v>1.6260534595555933</v>
      </c>
      <c r="N41" s="3"/>
      <c r="O41" s="36">
        <f t="shared" si="4"/>
        <v>9.9999999999999367E-2</v>
      </c>
      <c r="P41" s="3"/>
      <c r="Q41" s="3">
        <f>(LN((BSM!$B$5*EXP(-BSM!$B$10*O41))/BSM!$B$6)+((BSM!$B$8+((BSM!$B$7)^2)/2)*O41)) / ((BSM!$B$7)*SQRT(O41))</f>
        <v>1.1685724401983069</v>
      </c>
      <c r="R41" s="3">
        <f>Q41-BSM!$B$7*SQRT(O41)</f>
        <v>1.0737041103932559</v>
      </c>
      <c r="S41" s="3">
        <f>(BSM!$B$5*EXP(-BSM!$B$10*O41))*NORMSDIST(Q41)-BSM!$B$6*EXP(-BSM!$B$8*O41)*NORMSDIST(R41)</f>
        <v>1.0681420853520285</v>
      </c>
      <c r="T41" s="3">
        <f>S41-(BSM!$B$5*EXP(-BSM!$B$10*O41))+BSM!$B$6*EXP(-BSM!$B$8*O41)</f>
        <v>5.9146583852404788E-2</v>
      </c>
    </row>
    <row r="42" spans="1:20" x14ac:dyDescent="0.2">
      <c r="A42" s="3">
        <f>A41+BSM!$B$5*2%</f>
        <v>13.999999999999986</v>
      </c>
      <c r="B42" s="3"/>
      <c r="C42" s="3">
        <f>(LN((A42*EXP(-BSM!$B$10*BSM!$B$9))/BSM!$B$6)+((BSM!$B$8+((BSM!$B$7)^2)/2)*BSM!$B$9)) / ((BSM!$B$7)*SQRT(BSM!$B$9))</f>
        <v>1.3006822707244807</v>
      </c>
      <c r="D42" s="3">
        <f>C42-BSM!$B$7*SQRT(BSM!$B$9)</f>
        <v>0.87641820201255216</v>
      </c>
      <c r="E42" s="3">
        <f>(A42*EXP(-BSM!$B$10*BSM!$B$9))*NORMSDIST(C42)-BSM!$B$6*EXP(-BSM!$B$8*BSM!$B$9)*NORMSDIST(D42)</f>
        <v>5.5043217806211384</v>
      </c>
      <c r="F42" s="3">
        <f>E42-(A42*EXP(-BSM!$B$10*BSM!$B$9))+BSM!$B$6*EXP(-BSM!$B$8*BSM!$B$9)</f>
        <v>0.32610984038194957</v>
      </c>
      <c r="G42" s="3"/>
      <c r="H42" s="38">
        <f t="shared" si="3"/>
        <v>0.4200000000000001</v>
      </c>
      <c r="I42" s="3"/>
      <c r="J42" s="3">
        <f>(LN((BSM!$B$5*EXP(-BSM!$B$10*BSM!$B$9))/BSM!$B$6)+((BSM!$B$8+((H42)^2)/2)*BSM!$B$9)) / ((H42)*SQRT(BSM!$B$9))</f>
        <v>0.50804025456190083</v>
      </c>
      <c r="K42" s="3">
        <f>J42-H42*SQRT(BSM!$B$9)</f>
        <v>-8.592944163479932E-2</v>
      </c>
      <c r="L42" s="3">
        <f>(BSM!$B$5*EXP(-BSM!$B$10*BSM!$B$9))*NORMSDIST(J42)-BSM!$B$6*EXP(-BSM!$B$8*BSM!$B$9)*NORMSDIST(K42)</f>
        <v>2.8340273696401495</v>
      </c>
      <c r="M42" s="3">
        <f>L42-(BSM!$B$5*EXP(-BSM!$B$10*BSM!$B$9))+BSM!$B$6*EXP(-BSM!$B$8*BSM!$B$9)</f>
        <v>1.6558154294009464</v>
      </c>
      <c r="N42" s="3"/>
      <c r="O42" s="37">
        <v>0.01</v>
      </c>
      <c r="P42" s="3"/>
      <c r="Q42" s="3">
        <f>(LN((BSM!$B$5*EXP(-BSM!$B$10*O42))/BSM!$B$6)+((BSM!$B$8+((BSM!$B$7)^2)/2)*O42)) / ((BSM!$B$7)*SQRT(O42))</f>
        <v>3.5303505219275451</v>
      </c>
      <c r="R42" s="3">
        <f>Q42-BSM!$B$7*SQRT(O42)</f>
        <v>3.5003505219275453</v>
      </c>
      <c r="S42" s="3">
        <f>(BSM!$B$5*EXP(-BSM!$B$10*O42))*NORMSDIST(Q42)-BSM!$B$6*EXP(-BSM!$B$8*O42)*NORMSDIST(R42)</f>
        <v>1.0009156090367792</v>
      </c>
      <c r="T42" s="3">
        <f>S42-(BSM!$B$5*EXP(-BSM!$B$10*O42))+BSM!$B$6*EXP(-BSM!$B$8*O42)</f>
        <v>1.5654035278700462E-5</v>
      </c>
    </row>
  </sheetData>
  <sheetProtection algorithmName="SHA-512" hashValue="k0o7db6BhLNtNvUmAMTcQLyuKH/c91HsOknVlBbCGDT7WgK6eyEoIeonpU1RkZoUdZ3s44qf2ZuyV6FxfcTDXw==" saltValue="ab6AhcDHdWH9VmJNrufO1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BSM</vt:lpstr>
      <vt:lpstr>GK</vt:lpstr>
      <vt:lpstr>Sarjat</vt:lpstr>
      <vt:lpstr>Pankkiasiat.fi</vt:lpstr>
    </vt:vector>
  </TitlesOfParts>
  <Company>pankkiasiat.fi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Optiohintalaskuri</dc:title>
  <dc:creator>pankkiasiat.fi</dc:creator>
  <cp:lastModifiedBy>M</cp:lastModifiedBy>
  <cp:lastPrinted>2019-08-12T15:28:10Z</cp:lastPrinted>
  <dcterms:created xsi:type="dcterms:W3CDTF">2019-08-09T09:05:39Z</dcterms:created>
  <dcterms:modified xsi:type="dcterms:W3CDTF">2021-01-16T21:06:20Z</dcterms:modified>
</cp:coreProperties>
</file>